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475" windowHeight="6150" activeTab="1"/>
  </bookViews>
  <sheets>
    <sheet name="Приложение 4.1. энергия" sheetId="1" r:id="rId1"/>
    <sheet name="Приложение 4.2.мощность" sheetId="2" r:id="rId2"/>
  </sheets>
  <definedNames/>
  <calcPr fullCalcOnLoad="1"/>
</workbook>
</file>

<file path=xl/sharedStrings.xml><?xml version="1.0" encoding="utf-8"?>
<sst xmlns="http://schemas.openxmlformats.org/spreadsheetml/2006/main" count="263" uniqueCount="57">
  <si>
    <t xml:space="preserve"> Исполнитель-1:</t>
  </si>
  <si>
    <t>Исполнитель-2:</t>
  </si>
  <si>
    <t xml:space="preserve">ОАО «Мосэнергосбыт» </t>
  </si>
  <si>
    <t>ОАО "Московская объединенная электросетевая компания"</t>
  </si>
  <si>
    <t>Приложение № 4.1</t>
  </si>
  <si>
    <t>№ п.п.</t>
  </si>
  <si>
    <t>Наименование показателей</t>
  </si>
  <si>
    <t>Ед. 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</si>
  <si>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</si>
  <si>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</si>
  <si>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</si>
  <si>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</si>
  <si>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</si>
  <si>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</si>
  <si>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</si>
  <si>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</si>
  <si>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</si>
  <si>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</si>
  <si>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</si>
  <si>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</si>
  <si>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</si>
  <si>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Приложение № 4.2</t>
  </si>
  <si>
    <t>Всего в т.ч.</t>
  </si>
  <si>
    <t>МВт</t>
  </si>
  <si>
    <t>ВН</t>
  </si>
  <si>
    <t>СН I</t>
  </si>
  <si>
    <t>CH II</t>
  </si>
  <si>
    <t>HH</t>
  </si>
  <si>
    <t>кВт.ч</t>
  </si>
  <si>
    <t>Потери</t>
  </si>
  <si>
    <t>%</t>
  </si>
  <si>
    <t>Заказчик:</t>
  </si>
  <si>
    <t>МП</t>
  </si>
  <si>
    <t>"____"______________     200  г.</t>
  </si>
  <si>
    <t>___________________________</t>
  </si>
  <si>
    <t>ЗАО "Чеховская электросеть"</t>
  </si>
  <si>
    <t>2.2.</t>
  </si>
  <si>
    <t>в т.ч. Полезный отпуск потребителям ОАО "Мосэнергосбыт"</t>
  </si>
  <si>
    <t>к Договору по оказания комплекса работ по</t>
  </si>
  <si>
    <t>по транспортировке электрической энергии</t>
  </si>
  <si>
    <t xml:space="preserve">Отпуск в сеть (ВСЕГО) </t>
  </si>
  <si>
    <t>1.1.</t>
  </si>
  <si>
    <t>2.3.</t>
  </si>
  <si>
    <t>Расход электроэнергии на производственные и хозяйственные нужды</t>
  </si>
  <si>
    <t>от _______________________№</t>
  </si>
  <si>
    <t>от ______________________№</t>
  </si>
  <si>
    <t>В т.ч. от сетей ОАО "МОЭСК"</t>
  </si>
  <si>
    <t>Полезный отпуск из сети, Всего</t>
  </si>
  <si>
    <t>в т.ч. потребителям ОАО "Мосэнергосбыт"</t>
  </si>
  <si>
    <t>в т.ч. Транзит в сети ОАО "МОЭСК"</t>
  </si>
  <si>
    <t>2.1.</t>
  </si>
  <si>
    <t>в т.ч. собственное производство</t>
  </si>
  <si>
    <t>в т.ч. Транзит (или/и передача потребителям других сбытовых организаций)</t>
  </si>
  <si>
    <t>в т.ч. Собственное потребление</t>
  </si>
  <si>
    <t>2.3.1.</t>
  </si>
  <si>
    <t>Плановый баланс электрической энергии в сети ЗАО "Чеховская электросеть" на 2011г.</t>
  </si>
  <si>
    <t>Плановый баланс мощности в сети ЗАО "Чеховская электросеть" на 2011г.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</si>
</sst>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16">
    <font>
      <sz val="10"/>
      <name val="Arial Cyr"/>
      <family val="0"/>
    </font>
    <font>
      <sz val="10"/>
      <name val="Times New Roman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6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18" applyFont="1" applyAlignment="1">
      <alignment horizontal="left"/>
      <protection/>
    </xf>
    <xf numFmtId="0" fontId="2" fillId="0" borderId="0" xfId="18" applyFont="1" applyAlignment="1">
      <alignment horizontal="left"/>
      <protection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9" fillId="0" borderId="0" xfId="18" applyFont="1" applyAlignment="1">
      <alignment horizontal="left"/>
      <protection/>
    </xf>
    <xf numFmtId="0" fontId="6" fillId="0" borderId="0" xfId="18" applyFont="1" applyAlignment="1">
      <alignment horizontal="left"/>
      <protection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 horizontal="left" wrapText="1"/>
    </xf>
    <xf numFmtId="41" fontId="7" fillId="0" borderId="2" xfId="0" applyNumberFormat="1" applyFont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41" fontId="7" fillId="0" borderId="4" xfId="0" applyNumberFormat="1" applyFont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41" fontId="7" fillId="0" borderId="6" xfId="0" applyNumberFormat="1" applyFont="1" applyBorder="1" applyAlignment="1">
      <alignment horizontal="left" wrapText="1"/>
    </xf>
    <xf numFmtId="41" fontId="7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41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41" fontId="7" fillId="0" borderId="10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41" fontId="7" fillId="0" borderId="12" xfId="0" applyNumberFormat="1" applyFont="1" applyBorder="1" applyAlignment="1">
      <alignment horizontal="center"/>
    </xf>
    <xf numFmtId="41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1" fontId="7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41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41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83" fontId="7" fillId="0" borderId="5" xfId="0" applyNumberFormat="1" applyFont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left" wrapText="1"/>
    </xf>
    <xf numFmtId="41" fontId="7" fillId="0" borderId="2" xfId="0" applyNumberFormat="1" applyFont="1" applyFill="1" applyBorder="1" applyAlignment="1">
      <alignment horizontal="center"/>
    </xf>
    <xf numFmtId="182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182" fontId="7" fillId="0" borderId="3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182" fontId="7" fillId="0" borderId="17" xfId="0" applyNumberFormat="1" applyFont="1" applyFill="1" applyBorder="1" applyAlignment="1">
      <alignment horizontal="center"/>
    </xf>
    <xf numFmtId="182" fontId="7" fillId="0" borderId="18" xfId="0" applyNumberFormat="1" applyFont="1" applyFill="1" applyBorder="1" applyAlignment="1">
      <alignment horizontal="center"/>
    </xf>
    <xf numFmtId="182" fontId="7" fillId="0" borderId="8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182" fontId="7" fillId="0" borderId="5" xfId="0" applyNumberFormat="1" applyFont="1" applyFill="1" applyBorder="1" applyAlignment="1">
      <alignment horizontal="center"/>
    </xf>
    <xf numFmtId="182" fontId="7" fillId="0" borderId="16" xfId="0" applyNumberFormat="1" applyFont="1" applyFill="1" applyBorder="1" applyAlignment="1">
      <alignment horizontal="center"/>
    </xf>
    <xf numFmtId="182" fontId="7" fillId="0" borderId="6" xfId="0" applyNumberFormat="1" applyFont="1" applyFill="1" applyBorder="1" applyAlignment="1">
      <alignment horizontal="center" vertical="center"/>
    </xf>
    <xf numFmtId="182" fontId="7" fillId="0" borderId="6" xfId="0" applyNumberFormat="1" applyFont="1" applyBorder="1" applyAlignment="1">
      <alignment horizontal="center" vertical="center"/>
    </xf>
    <xf numFmtId="182" fontId="7" fillId="0" borderId="3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/>
    </xf>
    <xf numFmtId="182" fontId="7" fillId="0" borderId="15" xfId="0" applyNumberFormat="1" applyFont="1" applyFill="1" applyBorder="1" applyAlignment="1">
      <alignment horizontal="center"/>
    </xf>
    <xf numFmtId="182" fontId="7" fillId="0" borderId="5" xfId="0" applyNumberFormat="1" applyFont="1" applyBorder="1" applyAlignment="1">
      <alignment horizontal="center"/>
    </xf>
    <xf numFmtId="182" fontId="7" fillId="0" borderId="7" xfId="0" applyNumberFormat="1" applyFont="1" applyBorder="1" applyAlignment="1">
      <alignment horizontal="center" vertical="center"/>
    </xf>
    <xf numFmtId="182" fontId="7" fillId="0" borderId="5" xfId="0" applyNumberFormat="1" applyFont="1" applyBorder="1" applyAlignment="1">
      <alignment horizontal="center" vertical="center"/>
    </xf>
    <xf numFmtId="182" fontId="7" fillId="0" borderId="6" xfId="0" applyNumberFormat="1" applyFont="1" applyBorder="1" applyAlignment="1">
      <alignment horizontal="left" wrapText="1"/>
    </xf>
    <xf numFmtId="182" fontId="7" fillId="0" borderId="2" xfId="0" applyNumberFormat="1" applyFont="1" applyBorder="1" applyAlignment="1">
      <alignment horizontal="center"/>
    </xf>
    <xf numFmtId="182" fontId="7" fillId="0" borderId="6" xfId="0" applyNumberFormat="1" applyFont="1" applyBorder="1" applyAlignment="1">
      <alignment horizontal="left"/>
    </xf>
    <xf numFmtId="182" fontId="7" fillId="0" borderId="9" xfId="0" applyNumberFormat="1" applyFont="1" applyBorder="1" applyAlignment="1">
      <alignment horizontal="center" vertical="center"/>
    </xf>
    <xf numFmtId="182" fontId="7" fillId="0" borderId="9" xfId="0" applyNumberFormat="1" applyFont="1" applyBorder="1" applyAlignment="1">
      <alignment horizontal="left"/>
    </xf>
    <xf numFmtId="182" fontId="7" fillId="0" borderId="2" xfId="0" applyNumberFormat="1" applyFont="1" applyBorder="1" applyAlignment="1">
      <alignment horizontal="left" wrapText="1"/>
    </xf>
    <xf numFmtId="182" fontId="7" fillId="0" borderId="2" xfId="0" applyNumberFormat="1" applyFont="1" applyBorder="1" applyAlignment="1">
      <alignment/>
    </xf>
    <xf numFmtId="182" fontId="7" fillId="0" borderId="3" xfId="0" applyNumberFormat="1" applyFont="1" applyBorder="1" applyAlignment="1">
      <alignment/>
    </xf>
    <xf numFmtId="182" fontId="7" fillId="0" borderId="19" xfId="0" applyNumberFormat="1" applyFont="1" applyBorder="1" applyAlignment="1">
      <alignment horizontal="center" vertical="center"/>
    </xf>
    <xf numFmtId="182" fontId="7" fillId="0" borderId="20" xfId="0" applyNumberFormat="1" applyFont="1" applyBorder="1" applyAlignment="1">
      <alignment horizontal="center" vertical="center"/>
    </xf>
    <xf numFmtId="182" fontId="7" fillId="0" borderId="21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6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/>
    </xf>
    <xf numFmtId="182" fontId="7" fillId="0" borderId="6" xfId="0" applyNumberFormat="1" applyFont="1" applyBorder="1" applyAlignment="1">
      <alignment horizontal="center"/>
    </xf>
    <xf numFmtId="41" fontId="12" fillId="0" borderId="1" xfId="0" applyNumberFormat="1" applyFont="1" applyFill="1" applyBorder="1" applyAlignment="1">
      <alignment horizontal="center" vertical="center"/>
    </xf>
    <xf numFmtId="41" fontId="12" fillId="0" borderId="1" xfId="0" applyNumberFormat="1" applyFont="1" applyFill="1" applyBorder="1" applyAlignment="1">
      <alignment horizontal="center" vertical="center" wrapText="1"/>
    </xf>
    <xf numFmtId="41" fontId="12" fillId="0" borderId="15" xfId="0" applyNumberFormat="1" applyFont="1" applyFill="1" applyBorder="1" applyAlignment="1">
      <alignment horizontal="center" vertical="center"/>
    </xf>
    <xf numFmtId="41" fontId="12" fillId="0" borderId="15" xfId="0" applyNumberFormat="1" applyFont="1" applyFill="1" applyBorder="1" applyAlignment="1">
      <alignment horizontal="center" vertical="center" wrapText="1"/>
    </xf>
    <xf numFmtId="41" fontId="12" fillId="0" borderId="9" xfId="0" applyNumberFormat="1" applyFont="1" applyFill="1" applyBorder="1" applyAlignment="1">
      <alignment horizontal="center" vertical="center"/>
    </xf>
    <xf numFmtId="41" fontId="12" fillId="0" borderId="9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82" fontId="12" fillId="0" borderId="15" xfId="0" applyNumberFormat="1" applyFont="1" applyBorder="1" applyAlignment="1">
      <alignment horizontal="center" vertical="center"/>
    </xf>
    <xf numFmtId="182" fontId="12" fillId="0" borderId="9" xfId="0" applyNumberFormat="1" applyFont="1" applyBorder="1" applyAlignment="1">
      <alignment horizontal="center" vertical="center"/>
    </xf>
    <xf numFmtId="182" fontId="12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center"/>
    </xf>
    <xf numFmtId="182" fontId="7" fillId="0" borderId="4" xfId="0" applyNumberFormat="1" applyFont="1" applyBorder="1" applyAlignment="1">
      <alignment horizontal="center"/>
    </xf>
    <xf numFmtId="182" fontId="7" fillId="0" borderId="23" xfId="0" applyNumberFormat="1" applyFont="1" applyFill="1" applyBorder="1" applyAlignment="1">
      <alignment horizontal="center"/>
    </xf>
    <xf numFmtId="182" fontId="7" fillId="0" borderId="1" xfId="0" applyNumberFormat="1" applyFont="1" applyBorder="1" applyAlignment="1">
      <alignment horizontal="center"/>
    </xf>
    <xf numFmtId="182" fontId="7" fillId="0" borderId="2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41" fontId="7" fillId="0" borderId="3" xfId="0" applyNumberFormat="1" applyFont="1" applyFill="1" applyBorder="1" applyAlignment="1">
      <alignment horizontal="center"/>
    </xf>
    <xf numFmtId="41" fontId="7" fillId="0" borderId="17" xfId="0" applyNumberFormat="1" applyFont="1" applyFill="1" applyBorder="1" applyAlignment="1">
      <alignment horizontal="center"/>
    </xf>
    <xf numFmtId="41" fontId="7" fillId="0" borderId="4" xfId="0" applyNumberFormat="1" applyFont="1" applyFill="1" applyBorder="1" applyAlignment="1">
      <alignment horizontal="center"/>
    </xf>
    <xf numFmtId="41" fontId="7" fillId="0" borderId="24" xfId="0" applyNumberFormat="1" applyFont="1" applyFill="1" applyBorder="1" applyAlignment="1">
      <alignment horizontal="center"/>
    </xf>
    <xf numFmtId="41" fontId="7" fillId="0" borderId="25" xfId="0" applyNumberFormat="1" applyFont="1" applyFill="1" applyBorder="1" applyAlignment="1">
      <alignment horizontal="center"/>
    </xf>
    <xf numFmtId="41" fontId="7" fillId="0" borderId="6" xfId="0" applyNumberFormat="1" applyFont="1" applyFill="1" applyBorder="1" applyAlignment="1">
      <alignment horizontal="left" wrapText="1"/>
    </xf>
    <xf numFmtId="41" fontId="7" fillId="0" borderId="7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41" fontId="7" fillId="0" borderId="8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1" fontId="7" fillId="0" borderId="1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0" borderId="3" xfId="0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7" fillId="0" borderId="17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9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horizontal="center" vertical="center" wrapText="1"/>
    </xf>
    <xf numFmtId="41" fontId="7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1" fontId="12" fillId="0" borderId="1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82" fontId="12" fillId="0" borderId="15" xfId="0" applyNumberFormat="1" applyFont="1" applyBorder="1" applyAlignment="1">
      <alignment horizontal="center" vertical="center" wrapText="1"/>
    </xf>
    <xf numFmtId="182" fontId="13" fillId="0" borderId="15" xfId="0" applyNumberFormat="1" applyFont="1" applyBorder="1" applyAlignment="1">
      <alignment horizontal="center" vertical="center" wrapText="1"/>
    </xf>
    <xf numFmtId="182" fontId="13" fillId="0" borderId="9" xfId="0" applyNumberFormat="1" applyFont="1" applyBorder="1" applyAlignment="1">
      <alignment horizontal="center" vertical="center" wrapText="1"/>
    </xf>
    <xf numFmtId="182" fontId="12" fillId="0" borderId="1" xfId="0" applyNumberFormat="1" applyFont="1" applyBorder="1" applyAlignment="1">
      <alignment horizontal="center" vertical="center" wrapText="1"/>
    </xf>
    <xf numFmtId="182" fontId="14" fillId="0" borderId="1" xfId="0" applyNumberFormat="1" applyFont="1" applyBorder="1" applyAlignment="1">
      <alignment horizontal="center" vertical="center" wrapText="1"/>
    </xf>
    <xf numFmtId="182" fontId="15" fillId="0" borderId="15" xfId="0" applyNumberFormat="1" applyFont="1" applyBorder="1" applyAlignment="1">
      <alignment horizontal="center" vertical="center" wrapText="1"/>
    </xf>
    <xf numFmtId="182" fontId="15" fillId="0" borderId="9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82" fontId="7" fillId="0" borderId="29" xfId="0" applyNumberFormat="1" applyFont="1" applyBorder="1" applyAlignment="1">
      <alignment horizontal="center"/>
    </xf>
    <xf numFmtId="182" fontId="7" fillId="0" borderId="5" xfId="0" applyNumberFormat="1" applyFont="1" applyBorder="1" applyAlignment="1">
      <alignment/>
    </xf>
    <xf numFmtId="182" fontId="7" fillId="0" borderId="29" xfId="0" applyNumberFormat="1" applyFont="1" applyFill="1" applyBorder="1" applyAlignment="1">
      <alignment horizontal="center" vertical="center"/>
    </xf>
    <xf numFmtId="182" fontId="7" fillId="0" borderId="2" xfId="0" applyNumberFormat="1" applyFont="1" applyFill="1" applyBorder="1" applyAlignment="1">
      <alignment/>
    </xf>
    <xf numFmtId="182" fontId="7" fillId="0" borderId="3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62"/>
  <sheetViews>
    <sheetView workbookViewId="0" topLeftCell="A1">
      <selection activeCell="S39" sqref="S39"/>
    </sheetView>
  </sheetViews>
  <sheetFormatPr defaultColWidth="9.00390625" defaultRowHeight="12.75"/>
  <cols>
    <col min="1" max="1" width="4.25390625" style="0" customWidth="1"/>
    <col min="2" max="2" width="13.00390625" style="0" customWidth="1"/>
    <col min="3" max="3" width="9.625" style="0" customWidth="1"/>
    <col min="4" max="4" width="6.375" style="0" customWidth="1"/>
    <col min="5" max="5" width="8.00390625" style="0" customWidth="1"/>
    <col min="6" max="6" width="8.25390625" style="0" customWidth="1"/>
    <col min="7" max="7" width="8.125" style="0" customWidth="1"/>
    <col min="8" max="9" width="8.25390625" style="0" customWidth="1"/>
    <col min="10" max="10" width="8.125" style="0" customWidth="1"/>
    <col min="11" max="11" width="8.25390625" style="0" customWidth="1"/>
    <col min="12" max="12" width="8.125" style="0" customWidth="1"/>
    <col min="13" max="13" width="8.75390625" style="0" customWidth="1"/>
    <col min="14" max="14" width="8.25390625" style="0" customWidth="1"/>
    <col min="15" max="15" width="7.875" style="0" customWidth="1"/>
    <col min="16" max="16" width="8.25390625" style="0" customWidth="1"/>
    <col min="17" max="17" width="8.625" style="0" customWidth="1"/>
    <col min="19" max="19" width="10.00390625" style="0" bestFit="1" customWidth="1"/>
  </cols>
  <sheetData>
    <row r="1" spans="1:17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 t="s">
        <v>4</v>
      </c>
      <c r="N1" s="8"/>
      <c r="O1" s="7"/>
      <c r="P1" s="7"/>
      <c r="Q1" s="7"/>
    </row>
    <row r="2" spans="1:17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" t="s">
        <v>38</v>
      </c>
      <c r="N2" s="8"/>
      <c r="O2" s="7"/>
      <c r="P2" s="7"/>
      <c r="Q2" s="7"/>
    </row>
    <row r="3" spans="1:17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" t="s">
        <v>39</v>
      </c>
      <c r="N3" s="8"/>
      <c r="O3" s="7"/>
      <c r="P3" s="7"/>
      <c r="Q3" s="7"/>
    </row>
    <row r="4" spans="1:17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 t="s">
        <v>45</v>
      </c>
      <c r="N4" s="8"/>
      <c r="O4" s="7"/>
      <c r="P4" s="7"/>
      <c r="Q4" s="7"/>
    </row>
    <row r="5" spans="1:17" ht="16.5" thickBot="1">
      <c r="A5" s="122" t="s">
        <v>55</v>
      </c>
      <c r="B5" s="122"/>
      <c r="C5" s="122"/>
      <c r="D5" s="122"/>
      <c r="E5" s="122"/>
      <c r="F5" s="122"/>
      <c r="G5" s="122"/>
      <c r="H5" s="122"/>
      <c r="I5" s="123"/>
      <c r="J5" s="123"/>
      <c r="K5" s="123"/>
      <c r="L5" s="123"/>
      <c r="M5" s="123"/>
      <c r="N5" s="123"/>
      <c r="O5" s="123"/>
      <c r="P5" s="123"/>
      <c r="Q5" s="1"/>
    </row>
    <row r="6" spans="1:17" ht="12.75">
      <c r="A6" s="124" t="s">
        <v>5</v>
      </c>
      <c r="B6" s="127" t="s">
        <v>6</v>
      </c>
      <c r="C6" s="128"/>
      <c r="D6" s="131" t="s">
        <v>7</v>
      </c>
      <c r="E6" s="131" t="s">
        <v>8</v>
      </c>
      <c r="F6" s="131" t="s">
        <v>9</v>
      </c>
      <c r="G6" s="131" t="s">
        <v>10</v>
      </c>
      <c r="H6" s="131" t="s">
        <v>11</v>
      </c>
      <c r="I6" s="131" t="s">
        <v>12</v>
      </c>
      <c r="J6" s="131" t="s">
        <v>13</v>
      </c>
      <c r="K6" s="131" t="s">
        <v>14</v>
      </c>
      <c r="L6" s="131" t="s">
        <v>15</v>
      </c>
      <c r="M6" s="131" t="s">
        <v>16</v>
      </c>
      <c r="N6" s="131" t="s">
        <v>17</v>
      </c>
      <c r="O6" s="131" t="s">
        <v>18</v>
      </c>
      <c r="P6" s="127" t="s">
        <v>19</v>
      </c>
      <c r="Q6" s="124" t="s">
        <v>20</v>
      </c>
    </row>
    <row r="7" spans="1:17" ht="6.75" customHeight="1" thickBot="1">
      <c r="A7" s="125"/>
      <c r="B7" s="129"/>
      <c r="C7" s="130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29"/>
      <c r="Q7" s="125"/>
    </row>
    <row r="8" spans="1:17" ht="13.5" hidden="1" thickBot="1">
      <c r="A8" s="126"/>
      <c r="B8" s="129"/>
      <c r="C8" s="130"/>
      <c r="D8" s="132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4"/>
      <c r="Q8" s="145"/>
    </row>
    <row r="9" spans="1:17" ht="9" customHeight="1">
      <c r="A9" s="135">
        <v>1</v>
      </c>
      <c r="B9" s="150" t="s">
        <v>40</v>
      </c>
      <c r="C9" s="43" t="s">
        <v>22</v>
      </c>
      <c r="D9" s="44" t="s">
        <v>28</v>
      </c>
      <c r="E9" s="19">
        <f>E10+E11+E12+E13</f>
        <v>22062315.64184747</v>
      </c>
      <c r="F9" s="19">
        <v>19671166.5</v>
      </c>
      <c r="G9" s="19">
        <f>G10+G11+G12+G13</f>
        <v>18820453.44478995</v>
      </c>
      <c r="H9" s="19">
        <f>H10+H11+H12+H13</f>
        <v>16641722.881163944</v>
      </c>
      <c r="I9" s="19">
        <f>I10+I11+I12+I13</f>
        <v>15056766.279063987</v>
      </c>
      <c r="J9" s="19">
        <v>12090801.5</v>
      </c>
      <c r="K9" s="19">
        <f>K10+K11+K12+K13</f>
        <v>12210708.306759948</v>
      </c>
      <c r="L9" s="19">
        <v>13925890</v>
      </c>
      <c r="M9" s="19">
        <f>M10+M11+M12+M13</f>
        <v>15583600.307204412</v>
      </c>
      <c r="N9" s="19">
        <f>N10+N11+N12+N13</f>
        <v>20583963.546696767</v>
      </c>
      <c r="O9" s="19">
        <f>O10+O11+O12+O13</f>
        <v>22939389.9821392</v>
      </c>
      <c r="P9" s="19">
        <v>23366722</v>
      </c>
      <c r="Q9" s="19">
        <f aca="true" t="shared" si="0" ref="Q9:Q18">E9+F9+G9+H9+I9+J9+K9+L9+M9+N9+O9+P9</f>
        <v>212953500.3896657</v>
      </c>
    </row>
    <row r="10" spans="1:17" ht="9" customHeight="1">
      <c r="A10" s="136"/>
      <c r="B10" s="151"/>
      <c r="C10" s="46" t="s">
        <v>24</v>
      </c>
      <c r="D10" s="99" t="s">
        <v>28</v>
      </c>
      <c r="E10" s="20">
        <v>16252324</v>
      </c>
      <c r="F10" s="20">
        <v>14382848</v>
      </c>
      <c r="G10" s="20">
        <v>13889629</v>
      </c>
      <c r="H10" s="20">
        <v>12280519</v>
      </c>
      <c r="I10" s="20">
        <v>11014694</v>
      </c>
      <c r="J10" s="20">
        <v>8923100</v>
      </c>
      <c r="K10" s="20">
        <v>9009565</v>
      </c>
      <c r="L10" s="20">
        <v>10277831</v>
      </c>
      <c r="M10" s="20">
        <v>11499360</v>
      </c>
      <c r="N10" s="20">
        <v>15187335</v>
      </c>
      <c r="O10" s="20">
        <v>16845225</v>
      </c>
      <c r="P10" s="20">
        <v>17424070</v>
      </c>
      <c r="Q10" s="20">
        <f>E10+F10+G10+H10+I10+J10+K10+L10+M10+N10+O10+P10</f>
        <v>156986500</v>
      </c>
    </row>
    <row r="11" spans="1:17" ht="9" customHeight="1">
      <c r="A11" s="136"/>
      <c r="B11" s="151"/>
      <c r="C11" s="46" t="s">
        <v>25</v>
      </c>
      <c r="D11" s="99" t="s">
        <v>28</v>
      </c>
      <c r="E11" s="20">
        <f>1176435*1.0011856</f>
        <v>1177829.781336</v>
      </c>
      <c r="F11" s="20">
        <f>1077073*1.0011856-0.5</f>
        <v>1078349.4777487998</v>
      </c>
      <c r="G11" s="20">
        <f>1003177.8*1.0011856</f>
        <v>1004367.1675996799</v>
      </c>
      <c r="H11" s="20">
        <f>887288*1.0011856</f>
        <v>888339.9686528</v>
      </c>
      <c r="I11" s="20">
        <f>897694*1.0011856</f>
        <v>898758.3060063999</v>
      </c>
      <c r="J11" s="20">
        <f>644470*1.0011856</f>
        <v>645234.0836319999</v>
      </c>
      <c r="K11" s="20">
        <f>651273*1.0011856</f>
        <v>652045.1492687999</v>
      </c>
      <c r="L11" s="20">
        <f>742198*1.0011856</f>
        <v>743077.9499487999</v>
      </c>
      <c r="M11" s="20">
        <f>830940*1.0011856</f>
        <v>831925.1624639999</v>
      </c>
      <c r="N11" s="20">
        <f>1097946*1.0011856</f>
        <v>1099247.7247775998</v>
      </c>
      <c r="O11" s="20">
        <f>1222657*1.0011856</f>
        <v>1224106.5821391998</v>
      </c>
      <c r="P11" s="20">
        <f>1155347.8*1.0011856+1</f>
        <v>1156718.5803516798</v>
      </c>
      <c r="Q11" s="20">
        <f t="shared" si="0"/>
        <v>11399999.93392576</v>
      </c>
    </row>
    <row r="12" spans="1:17" ht="9" customHeight="1">
      <c r="A12" s="136"/>
      <c r="B12" s="151"/>
      <c r="C12" s="46" t="s">
        <v>26</v>
      </c>
      <c r="D12" s="99" t="s">
        <v>28</v>
      </c>
      <c r="E12" s="20">
        <f>(3156216*1.2423)/1.002/1.038599</f>
        <v>3767710.9790109755</v>
      </c>
      <c r="F12" s="20">
        <f>(3156216*1.1381)/1.004/1.038599</f>
        <v>3444812.017279682</v>
      </c>
      <c r="G12" s="20">
        <f>(3156216*1.0604)/1.003/1.038599</f>
        <v>3212828.9393973164</v>
      </c>
      <c r="H12" s="20">
        <f>(3156216*0.9379)/1.003/1.038599</f>
        <v>2841675.0870056036</v>
      </c>
      <c r="I12" s="20">
        <f>(3156216*0.8489)/1.003/1.038599</f>
        <v>2572020.451390401</v>
      </c>
      <c r="J12" s="20">
        <f>(3156216*0.741)/1.091/1.038599</f>
        <v>2064012.268363607</v>
      </c>
      <c r="K12" s="20">
        <f>(3156216*0.7852)/1.144/1.038599</f>
        <v>2085802.0187859712</v>
      </c>
      <c r="L12" s="20">
        <f>(3156216*0.808)/1.033/1.038599</f>
        <v>2377003.6918086857</v>
      </c>
      <c r="M12" s="20">
        <f>(3156216*0.8786)/1.0033/1.038599</f>
        <v>2661210.3489951896</v>
      </c>
      <c r="N12" s="20">
        <f>(3156216*1.0481)*1.104/1.038599</f>
        <v>3516337.978871923</v>
      </c>
      <c r="O12" s="20">
        <v>3915746</v>
      </c>
      <c r="P12" s="20">
        <f>4162549/1.038599-10</f>
        <v>4007839.9979299037</v>
      </c>
      <c r="Q12" s="20">
        <f t="shared" si="0"/>
        <v>36466999.77883926</v>
      </c>
    </row>
    <row r="13" spans="1:17" ht="9" customHeight="1" thickBot="1">
      <c r="A13" s="136"/>
      <c r="B13" s="151"/>
      <c r="C13" s="48" t="s">
        <v>27</v>
      </c>
      <c r="D13" s="100" t="s">
        <v>28</v>
      </c>
      <c r="E13" s="118">
        <f>(564332.8*1.2423)/1.002*1.23551</f>
        <v>864450.8815004936</v>
      </c>
      <c r="F13" s="118">
        <f>(546333.3*1.1381)/1.004*1.23551</f>
        <v>765157.1621167355</v>
      </c>
      <c r="G13" s="118">
        <f>(546332.5*1.0604)/1.003*1.23551</f>
        <v>713628.3377929513</v>
      </c>
      <c r="H13" s="118">
        <f>(546333*0.9379)/1.003*1.23551</f>
        <v>631188.8255055405</v>
      </c>
      <c r="I13" s="118">
        <f>(546333*0.8489)/1.003*1.23551</f>
        <v>571293.5216671856</v>
      </c>
      <c r="J13" s="118">
        <f>(546333*0.741)/1.091*1.23551</f>
        <v>458455.46714851516</v>
      </c>
      <c r="K13" s="118">
        <f>(546333.9*0.7852)/1.144*1.23551</f>
        <v>463296.13870517735</v>
      </c>
      <c r="L13" s="118">
        <f>(546333*0.808)/1.033*1.23551</f>
        <v>527976.676614366</v>
      </c>
      <c r="M13" s="118">
        <f>(546333.5*0.8786)/1.0033*1.23551</f>
        <v>591104.7957452218</v>
      </c>
      <c r="N13" s="118">
        <f>(546332.2*1.0481)*1.104*1.23551</f>
        <v>781042.8430472477</v>
      </c>
      <c r="O13" s="118">
        <f>954312.4</f>
        <v>954312.4</v>
      </c>
      <c r="P13" s="118">
        <f>629776.9*1.23551-3</f>
        <v>778092.6577190001</v>
      </c>
      <c r="Q13" s="118">
        <f t="shared" si="0"/>
        <v>8099999.7075624345</v>
      </c>
    </row>
    <row r="14" spans="1:18" ht="9" customHeight="1">
      <c r="A14" s="135" t="s">
        <v>41</v>
      </c>
      <c r="B14" s="150" t="s">
        <v>46</v>
      </c>
      <c r="C14" s="43" t="s">
        <v>22</v>
      </c>
      <c r="D14" s="101" t="s">
        <v>28</v>
      </c>
      <c r="E14" s="19">
        <v>19112015</v>
      </c>
      <c r="F14" s="19">
        <f>F15+F16+F17+F18</f>
        <v>17019927.729255386</v>
      </c>
      <c r="G14" s="19">
        <f>G15+G16+G17+G18</f>
        <v>16350173.84450379</v>
      </c>
      <c r="H14" s="19">
        <f aca="true" t="shared" si="1" ref="H14:P14">H15+H16+H17+H18</f>
        <v>14456710.021644117</v>
      </c>
      <c r="I14" s="19">
        <f t="shared" si="1"/>
        <v>13079008.700389521</v>
      </c>
      <c r="J14" s="19">
        <f t="shared" si="1"/>
        <v>10363349.892851286</v>
      </c>
      <c r="K14" s="19">
        <f t="shared" si="1"/>
        <v>10379732.350665262</v>
      </c>
      <c r="L14" s="19">
        <f t="shared" si="1"/>
        <v>12042998.106548801</v>
      </c>
      <c r="M14" s="19">
        <f t="shared" si="1"/>
        <v>13536675.324429821</v>
      </c>
      <c r="N14" s="19">
        <v>18095764.5</v>
      </c>
      <c r="O14" s="19">
        <v>20088503.8</v>
      </c>
      <c r="P14" s="19">
        <f t="shared" si="1"/>
        <v>20207852.877551682</v>
      </c>
      <c r="Q14" s="19">
        <v>184386500</v>
      </c>
      <c r="R14" s="8"/>
    </row>
    <row r="15" spans="1:18" ht="9" customHeight="1">
      <c r="A15" s="136"/>
      <c r="B15" s="151"/>
      <c r="C15" s="46" t="s">
        <v>24</v>
      </c>
      <c r="D15" s="102" t="s">
        <v>28</v>
      </c>
      <c r="E15" s="20">
        <f aca="true" t="shared" si="2" ref="E15:O15">E10</f>
        <v>16252324</v>
      </c>
      <c r="F15" s="20">
        <f t="shared" si="2"/>
        <v>14382848</v>
      </c>
      <c r="G15" s="20">
        <f t="shared" si="2"/>
        <v>13889629</v>
      </c>
      <c r="H15" s="20">
        <f t="shared" si="2"/>
        <v>12280519</v>
      </c>
      <c r="I15" s="20">
        <f t="shared" si="2"/>
        <v>11014694</v>
      </c>
      <c r="J15" s="20">
        <f t="shared" si="2"/>
        <v>8923100</v>
      </c>
      <c r="K15" s="20">
        <f t="shared" si="2"/>
        <v>9009565</v>
      </c>
      <c r="L15" s="20">
        <f t="shared" si="2"/>
        <v>10277831</v>
      </c>
      <c r="M15" s="20">
        <f t="shared" si="2"/>
        <v>11499360</v>
      </c>
      <c r="N15" s="20">
        <f t="shared" si="2"/>
        <v>15187335</v>
      </c>
      <c r="O15" s="20">
        <f t="shared" si="2"/>
        <v>16845225</v>
      </c>
      <c r="P15" s="20">
        <f>P10</f>
        <v>17424070</v>
      </c>
      <c r="Q15" s="20">
        <f>Q10</f>
        <v>156986500</v>
      </c>
      <c r="R15" s="8"/>
    </row>
    <row r="16" spans="1:18" ht="9" customHeight="1">
      <c r="A16" s="136"/>
      <c r="B16" s="151"/>
      <c r="C16" s="46" t="s">
        <v>25</v>
      </c>
      <c r="D16" s="102" t="s">
        <v>28</v>
      </c>
      <c r="E16" s="20">
        <f aca="true" t="shared" si="3" ref="E16:O16">E11</f>
        <v>1177829.781336</v>
      </c>
      <c r="F16" s="20">
        <f t="shared" si="3"/>
        <v>1078349.4777487998</v>
      </c>
      <c r="G16" s="20">
        <f t="shared" si="3"/>
        <v>1004367.1675996799</v>
      </c>
      <c r="H16" s="20">
        <f t="shared" si="3"/>
        <v>888339.9686528</v>
      </c>
      <c r="I16" s="20">
        <f t="shared" si="3"/>
        <v>898758.3060063999</v>
      </c>
      <c r="J16" s="20">
        <f t="shared" si="3"/>
        <v>645234.0836319999</v>
      </c>
      <c r="K16" s="20">
        <f t="shared" si="3"/>
        <v>652045.1492687999</v>
      </c>
      <c r="L16" s="20">
        <f t="shared" si="3"/>
        <v>743077.9499487999</v>
      </c>
      <c r="M16" s="20">
        <f t="shared" si="3"/>
        <v>831925.1624639999</v>
      </c>
      <c r="N16" s="20">
        <f t="shared" si="3"/>
        <v>1099247.7247775998</v>
      </c>
      <c r="O16" s="20">
        <f t="shared" si="3"/>
        <v>1224106.5821391998</v>
      </c>
      <c r="P16" s="20">
        <f>P11</f>
        <v>1156718.5803516798</v>
      </c>
      <c r="Q16" s="20">
        <f t="shared" si="0"/>
        <v>11399999.93392576</v>
      </c>
      <c r="R16" s="112"/>
    </row>
    <row r="17" spans="1:18" ht="9" customHeight="1">
      <c r="A17" s="136"/>
      <c r="B17" s="151"/>
      <c r="C17" s="46" t="s">
        <v>26</v>
      </c>
      <c r="D17" s="102" t="s">
        <v>28</v>
      </c>
      <c r="E17" s="20">
        <f>1011767*1.0043</f>
        <v>1016117.5981</v>
      </c>
      <c r="F17" s="20">
        <f>919685*1.0043</f>
        <v>923639.6455</v>
      </c>
      <c r="G17" s="20">
        <f>860158*1.0043</f>
        <v>863856.6794</v>
      </c>
      <c r="H17" s="20">
        <f>760685*1.0043</f>
        <v>763955.9455</v>
      </c>
      <c r="I17" s="20">
        <f>688415*1.0043</f>
        <v>691375.1845</v>
      </c>
      <c r="J17" s="20">
        <f>412717*1.0043</f>
        <v>414491.68309999997</v>
      </c>
      <c r="K17" s="20">
        <f>332152*1.0043</f>
        <v>333580.2536</v>
      </c>
      <c r="L17" s="20">
        <f>581362*1.0043</f>
        <v>583861.8565999999</v>
      </c>
      <c r="M17" s="20">
        <f>711705*1.0043</f>
        <v>714765.3315</v>
      </c>
      <c r="N17" s="20">
        <f>1204100*1.0043</f>
        <v>1209277.63</v>
      </c>
      <c r="O17" s="20">
        <f>1275249.8*1.0043</f>
        <v>1280733.37414</v>
      </c>
      <c r="P17" s="20">
        <f>1099604*1.0043+12</f>
        <v>1104344.2972</v>
      </c>
      <c r="Q17" s="20">
        <v>9900000</v>
      </c>
      <c r="R17" s="112"/>
    </row>
    <row r="18" spans="1:18" ht="9" customHeight="1" thickBot="1">
      <c r="A18" s="137"/>
      <c r="B18" s="152"/>
      <c r="C18" s="52" t="s">
        <v>27</v>
      </c>
      <c r="D18" s="103" t="s">
        <v>28</v>
      </c>
      <c r="E18" s="22">
        <v>717504.9</v>
      </c>
      <c r="F18" s="22">
        <f aca="true" t="shared" si="4" ref="F18:K18">F13/1.2048</f>
        <v>635090.6060065865</v>
      </c>
      <c r="G18" s="22">
        <f t="shared" si="4"/>
        <v>592320.9975041095</v>
      </c>
      <c r="H18" s="22">
        <f t="shared" si="4"/>
        <v>523895.1074913184</v>
      </c>
      <c r="I18" s="22">
        <f t="shared" si="4"/>
        <v>474181.2098831221</v>
      </c>
      <c r="J18" s="22">
        <f t="shared" si="4"/>
        <v>380524.1261192855</v>
      </c>
      <c r="K18" s="22">
        <f t="shared" si="4"/>
        <v>384541.9477964619</v>
      </c>
      <c r="L18" s="22">
        <v>438227.3</v>
      </c>
      <c r="M18" s="22">
        <f>M13/1.2048</f>
        <v>490624.8304658215</v>
      </c>
      <c r="N18" s="22">
        <v>648275.8</v>
      </c>
      <c r="O18" s="22">
        <v>792092.8</v>
      </c>
      <c r="P18" s="22">
        <v>522720</v>
      </c>
      <c r="Q18" s="22">
        <f t="shared" si="0"/>
        <v>6599999.625266705</v>
      </c>
      <c r="R18" s="112"/>
    </row>
    <row r="19" spans="1:18" ht="9" customHeight="1">
      <c r="A19" s="146">
        <f>A9+1</f>
        <v>2</v>
      </c>
      <c r="B19" s="148" t="s">
        <v>47</v>
      </c>
      <c r="C19" s="104" t="s">
        <v>22</v>
      </c>
      <c r="D19" s="105" t="s">
        <v>28</v>
      </c>
      <c r="E19" s="119">
        <f aca="true" t="shared" si="5" ref="E19:Q19">E21+E22+E23</f>
        <v>17821136</v>
      </c>
      <c r="F19" s="119">
        <f t="shared" si="5"/>
        <v>17207707</v>
      </c>
      <c r="G19" s="119">
        <f t="shared" si="5"/>
        <v>16712033</v>
      </c>
      <c r="H19" s="119">
        <f t="shared" si="5"/>
        <v>15331152</v>
      </c>
      <c r="I19" s="119">
        <f t="shared" si="5"/>
        <v>13939108</v>
      </c>
      <c r="J19" s="119">
        <f t="shared" si="5"/>
        <v>11370240</v>
      </c>
      <c r="K19" s="119">
        <f t="shared" si="5"/>
        <v>11526205</v>
      </c>
      <c r="L19" s="119">
        <f t="shared" si="5"/>
        <v>12882771</v>
      </c>
      <c r="M19" s="119">
        <f t="shared" si="5"/>
        <v>13915100</v>
      </c>
      <c r="N19" s="119">
        <f t="shared" si="5"/>
        <v>17731165</v>
      </c>
      <c r="O19" s="119">
        <f t="shared" si="5"/>
        <v>18711844</v>
      </c>
      <c r="P19" s="119">
        <f t="shared" si="5"/>
        <v>19590439</v>
      </c>
      <c r="Q19" s="119">
        <f t="shared" si="5"/>
        <v>186738900</v>
      </c>
      <c r="R19" s="98"/>
    </row>
    <row r="20" spans="1:18" ht="9" customHeight="1">
      <c r="A20" s="146"/>
      <c r="B20" s="148"/>
      <c r="C20" s="106" t="s">
        <v>24</v>
      </c>
      <c r="D20" s="107" t="s">
        <v>28</v>
      </c>
      <c r="E20" s="108"/>
      <c r="F20" s="108"/>
      <c r="G20" s="108"/>
      <c r="H20" s="108"/>
      <c r="I20" s="108"/>
      <c r="J20" s="108"/>
      <c r="K20" s="108"/>
      <c r="L20" s="108"/>
      <c r="M20" s="109"/>
      <c r="N20" s="108"/>
      <c r="O20" s="108"/>
      <c r="P20" s="108"/>
      <c r="Q20" s="108"/>
      <c r="R20" s="98"/>
    </row>
    <row r="21" spans="1:17" ht="9" customHeight="1">
      <c r="A21" s="146"/>
      <c r="B21" s="148"/>
      <c r="C21" s="106" t="s">
        <v>25</v>
      </c>
      <c r="D21" s="107" t="s">
        <v>28</v>
      </c>
      <c r="E21" s="20">
        <f aca="true" t="shared" si="6" ref="E21:P21">E31+E41</f>
        <v>605515</v>
      </c>
      <c r="F21" s="20">
        <f t="shared" si="6"/>
        <v>583888</v>
      </c>
      <c r="G21" s="20">
        <f t="shared" si="6"/>
        <v>550915</v>
      </c>
      <c r="H21" s="20">
        <f t="shared" si="6"/>
        <v>482507</v>
      </c>
      <c r="I21" s="20">
        <f t="shared" si="6"/>
        <v>370541</v>
      </c>
      <c r="J21" s="20">
        <f t="shared" si="6"/>
        <v>324792</v>
      </c>
      <c r="K21" s="20">
        <f t="shared" si="6"/>
        <v>313689</v>
      </c>
      <c r="L21" s="20">
        <f t="shared" si="6"/>
        <v>368675</v>
      </c>
      <c r="M21" s="20">
        <f t="shared" si="6"/>
        <v>483370</v>
      </c>
      <c r="N21" s="20">
        <f t="shared" si="6"/>
        <v>569811</v>
      </c>
      <c r="O21" s="20">
        <f t="shared" si="6"/>
        <v>583252</v>
      </c>
      <c r="P21" s="20">
        <f t="shared" si="6"/>
        <v>622045</v>
      </c>
      <c r="Q21" s="20">
        <f>E21+F21+G21+H21+I21+J21+K21+L21+M21+N21+O21+P21</f>
        <v>5859000</v>
      </c>
    </row>
    <row r="22" spans="1:17" ht="9" customHeight="1">
      <c r="A22" s="146"/>
      <c r="B22" s="148"/>
      <c r="C22" s="106" t="s">
        <v>26</v>
      </c>
      <c r="D22" s="107" t="s">
        <v>28</v>
      </c>
      <c r="E22" s="20">
        <f aca="true" t="shared" si="7" ref="E22:P22">E32</f>
        <v>4752721</v>
      </c>
      <c r="F22" s="20">
        <f t="shared" si="7"/>
        <v>4705723</v>
      </c>
      <c r="G22" s="20">
        <f t="shared" si="7"/>
        <v>4686809</v>
      </c>
      <c r="H22" s="20">
        <f t="shared" si="7"/>
        <v>4612526</v>
      </c>
      <c r="I22" s="20">
        <f t="shared" si="7"/>
        <v>4430042</v>
      </c>
      <c r="J22" s="20">
        <f t="shared" si="7"/>
        <v>3641442</v>
      </c>
      <c r="K22" s="20">
        <f t="shared" si="7"/>
        <v>3694806</v>
      </c>
      <c r="L22" s="20">
        <f t="shared" si="7"/>
        <v>4052116</v>
      </c>
      <c r="M22" s="20">
        <f t="shared" si="7"/>
        <v>4255760</v>
      </c>
      <c r="N22" s="20">
        <f t="shared" si="7"/>
        <v>4648496</v>
      </c>
      <c r="O22" s="20">
        <f t="shared" si="7"/>
        <v>4763455</v>
      </c>
      <c r="P22" s="20">
        <f t="shared" si="7"/>
        <v>5176104</v>
      </c>
      <c r="Q22" s="20">
        <f>E22+F22+G22+H22+I22+J22+K22+L22+M22+N22+O22+P22</f>
        <v>53420000</v>
      </c>
    </row>
    <row r="23" spans="1:17" ht="9" customHeight="1" thickBot="1">
      <c r="A23" s="147"/>
      <c r="B23" s="149"/>
      <c r="C23" s="110" t="s">
        <v>27</v>
      </c>
      <c r="D23" s="111" t="s">
        <v>28</v>
      </c>
      <c r="E23" s="109">
        <f aca="true" t="shared" si="8" ref="E23:P23">E33</f>
        <v>12462900</v>
      </c>
      <c r="F23" s="109">
        <f t="shared" si="8"/>
        <v>11918096</v>
      </c>
      <c r="G23" s="109">
        <f t="shared" si="8"/>
        <v>11474309</v>
      </c>
      <c r="H23" s="109">
        <f t="shared" si="8"/>
        <v>10236119</v>
      </c>
      <c r="I23" s="109">
        <f t="shared" si="8"/>
        <v>9138525</v>
      </c>
      <c r="J23" s="109">
        <f t="shared" si="8"/>
        <v>7404006</v>
      </c>
      <c r="K23" s="109">
        <f t="shared" si="8"/>
        <v>7517710</v>
      </c>
      <c r="L23" s="109">
        <f t="shared" si="8"/>
        <v>8461980</v>
      </c>
      <c r="M23" s="109">
        <f t="shared" si="8"/>
        <v>9175970</v>
      </c>
      <c r="N23" s="109">
        <f t="shared" si="8"/>
        <v>12512858</v>
      </c>
      <c r="O23" s="109">
        <f t="shared" si="8"/>
        <v>13365137</v>
      </c>
      <c r="P23" s="109">
        <f t="shared" si="8"/>
        <v>13792290</v>
      </c>
      <c r="Q23" s="109">
        <f>E23+F23+G23+H23+I23+J23+K23+L23+M23+N23+O23+P23</f>
        <v>127459900</v>
      </c>
    </row>
    <row r="24" spans="1:17" ht="9" customHeight="1">
      <c r="A24" s="138" t="s">
        <v>50</v>
      </c>
      <c r="B24" s="131" t="s">
        <v>51</v>
      </c>
      <c r="C24" s="23" t="s">
        <v>22</v>
      </c>
      <c r="D24" s="29" t="s">
        <v>28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9" customHeight="1">
      <c r="A25" s="139"/>
      <c r="B25" s="132"/>
      <c r="C25" s="25" t="s">
        <v>24</v>
      </c>
      <c r="D25" s="30" t="s">
        <v>28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9" customHeight="1">
      <c r="A26" s="139"/>
      <c r="B26" s="132"/>
      <c r="C26" s="25" t="s">
        <v>25</v>
      </c>
      <c r="D26" s="30" t="s">
        <v>28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9" customHeight="1">
      <c r="A27" s="139"/>
      <c r="B27" s="132"/>
      <c r="C27" s="25" t="s">
        <v>26</v>
      </c>
      <c r="D27" s="30" t="s">
        <v>28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9" customHeight="1" thickBot="1">
      <c r="A28" s="140"/>
      <c r="B28" s="133"/>
      <c r="C28" s="27" t="s">
        <v>27</v>
      </c>
      <c r="D28" s="31" t="s">
        <v>28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9" customHeight="1">
      <c r="A29" s="139" t="s">
        <v>36</v>
      </c>
      <c r="B29" s="132" t="s">
        <v>48</v>
      </c>
      <c r="C29" s="32" t="s">
        <v>22</v>
      </c>
      <c r="D29" s="24" t="s">
        <v>28</v>
      </c>
      <c r="E29" s="120">
        <f aca="true" t="shared" si="9" ref="E29:P29">E31+E32+E33</f>
        <v>17520276</v>
      </c>
      <c r="F29" s="120">
        <f t="shared" si="9"/>
        <v>16925049</v>
      </c>
      <c r="G29" s="120">
        <f t="shared" si="9"/>
        <v>16458283</v>
      </c>
      <c r="H29" s="120">
        <f t="shared" si="9"/>
        <v>15134149</v>
      </c>
      <c r="I29" s="120">
        <f t="shared" si="9"/>
        <v>13845961</v>
      </c>
      <c r="J29" s="120">
        <f t="shared" si="9"/>
        <v>11294224</v>
      </c>
      <c r="K29" s="120">
        <f t="shared" si="9"/>
        <v>11452330</v>
      </c>
      <c r="L29" s="120">
        <f t="shared" si="9"/>
        <v>12787483</v>
      </c>
      <c r="M29" s="120">
        <f t="shared" si="9"/>
        <v>13705250</v>
      </c>
      <c r="N29" s="120">
        <f t="shared" si="9"/>
        <v>17487052</v>
      </c>
      <c r="O29" s="120">
        <f t="shared" si="9"/>
        <v>18437753</v>
      </c>
      <c r="P29" s="120">
        <f t="shared" si="9"/>
        <v>19282090</v>
      </c>
      <c r="Q29" s="120">
        <f>E29+F29+G29+H29+I29+J29+K29+L29+M29+N29+O29+P29</f>
        <v>184329900</v>
      </c>
    </row>
    <row r="30" spans="1:17" ht="9" customHeight="1">
      <c r="A30" s="139"/>
      <c r="B30" s="132"/>
      <c r="C30" s="25" t="s">
        <v>24</v>
      </c>
      <c r="D30" s="26" t="s">
        <v>28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</row>
    <row r="31" spans="1:17" ht="9" customHeight="1">
      <c r="A31" s="139"/>
      <c r="B31" s="132"/>
      <c r="C31" s="25" t="s">
        <v>25</v>
      </c>
      <c r="D31" s="26" t="s">
        <v>28</v>
      </c>
      <c r="E31" s="20">
        <v>304655</v>
      </c>
      <c r="F31" s="20">
        <v>301230</v>
      </c>
      <c r="G31" s="20">
        <v>297165</v>
      </c>
      <c r="H31" s="20">
        <v>285504</v>
      </c>
      <c r="I31" s="20">
        <v>277394</v>
      </c>
      <c r="J31" s="20">
        <v>248776</v>
      </c>
      <c r="K31" s="20">
        <v>239814</v>
      </c>
      <c r="L31" s="20">
        <v>273387</v>
      </c>
      <c r="M31" s="20">
        <v>273520</v>
      </c>
      <c r="N31" s="20">
        <v>325698</v>
      </c>
      <c r="O31" s="20">
        <v>309161</v>
      </c>
      <c r="P31" s="20">
        <v>313696</v>
      </c>
      <c r="Q31" s="20">
        <f>E31+F31+G31+H31+I31+J31+K31+L31+M31+N31+O31+P31</f>
        <v>3450000</v>
      </c>
    </row>
    <row r="32" spans="1:17" ht="9" customHeight="1">
      <c r="A32" s="139"/>
      <c r="B32" s="132"/>
      <c r="C32" s="25" t="s">
        <v>26</v>
      </c>
      <c r="D32" s="26" t="s">
        <v>28</v>
      </c>
      <c r="E32" s="20">
        <f>4752696+25</f>
        <v>4752721</v>
      </c>
      <c r="F32" s="20">
        <f>4705698+25</f>
        <v>4705723</v>
      </c>
      <c r="G32" s="20">
        <f>4686784+25</f>
        <v>4686809</v>
      </c>
      <c r="H32" s="20">
        <f>4612501+25</f>
        <v>4612526</v>
      </c>
      <c r="I32" s="20">
        <f>4430017+25</f>
        <v>4430042</v>
      </c>
      <c r="J32" s="20">
        <f>3641417+25</f>
        <v>3641442</v>
      </c>
      <c r="K32" s="20">
        <f>3694781+25</f>
        <v>3694806</v>
      </c>
      <c r="L32" s="20">
        <f>4052091+25</f>
        <v>4052116</v>
      </c>
      <c r="M32" s="20">
        <f>4255735+25</f>
        <v>4255760</v>
      </c>
      <c r="N32" s="20">
        <f>4648471+25</f>
        <v>4648496</v>
      </c>
      <c r="O32" s="20">
        <f>4763430+25</f>
        <v>4763455</v>
      </c>
      <c r="P32" s="20">
        <f>5176085+19</f>
        <v>5176104</v>
      </c>
      <c r="Q32" s="20">
        <f>E32+F32+G32+H32+I32+J32+K32+L32+M32+P32+O32+N32</f>
        <v>53420000</v>
      </c>
    </row>
    <row r="33" spans="1:17" ht="9" customHeight="1" thickBot="1">
      <c r="A33" s="140"/>
      <c r="B33" s="133"/>
      <c r="C33" s="27" t="s">
        <v>27</v>
      </c>
      <c r="D33" s="28" t="s">
        <v>28</v>
      </c>
      <c r="E33" s="109">
        <v>12462900</v>
      </c>
      <c r="F33" s="109">
        <v>11918096</v>
      </c>
      <c r="G33" s="109">
        <v>11474309</v>
      </c>
      <c r="H33" s="109">
        <v>10236119</v>
      </c>
      <c r="I33" s="109">
        <v>9138525</v>
      </c>
      <c r="J33" s="109">
        <v>7404006</v>
      </c>
      <c r="K33" s="109">
        <v>7517710</v>
      </c>
      <c r="L33" s="109">
        <v>8461980</v>
      </c>
      <c r="M33" s="109">
        <v>9175970</v>
      </c>
      <c r="N33" s="109">
        <v>12512858</v>
      </c>
      <c r="O33" s="109">
        <v>13365137</v>
      </c>
      <c r="P33" s="109">
        <v>13792290</v>
      </c>
      <c r="Q33" s="118">
        <f>E33+F33+G33+H33+I33+J33+K33+L33+M33+N33+O33+P33</f>
        <v>127459900</v>
      </c>
    </row>
    <row r="34" spans="1:17" ht="9" customHeight="1">
      <c r="A34" s="138" t="s">
        <v>42</v>
      </c>
      <c r="B34" s="114" t="s">
        <v>52</v>
      </c>
      <c r="C34" s="32" t="s">
        <v>22</v>
      </c>
      <c r="D34" s="29" t="s">
        <v>28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9" customHeight="1">
      <c r="A35" s="139"/>
      <c r="B35" s="143"/>
      <c r="C35" s="25" t="s">
        <v>24</v>
      </c>
      <c r="D35" s="30" t="s">
        <v>28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9" customHeight="1">
      <c r="A36" s="139"/>
      <c r="B36" s="143"/>
      <c r="C36" s="25" t="s">
        <v>25</v>
      </c>
      <c r="D36" s="30" t="s">
        <v>28</v>
      </c>
      <c r="E36" s="20"/>
      <c r="F36" s="20"/>
      <c r="G36" s="20"/>
      <c r="H36" s="20"/>
      <c r="I36" s="20"/>
      <c r="J36" s="20"/>
      <c r="K36" s="20"/>
      <c r="L36" s="20"/>
      <c r="M36" s="20"/>
      <c r="N36" s="121"/>
      <c r="O36" s="20"/>
      <c r="P36" s="20"/>
      <c r="Q36" s="20"/>
    </row>
    <row r="37" spans="1:17" ht="9" customHeight="1">
      <c r="A37" s="139"/>
      <c r="B37" s="143"/>
      <c r="C37" s="25" t="s">
        <v>26</v>
      </c>
      <c r="D37" s="30" t="s">
        <v>28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2" customHeight="1" thickBot="1">
      <c r="A38" s="140"/>
      <c r="B38" s="144"/>
      <c r="C38" s="27" t="s">
        <v>27</v>
      </c>
      <c r="D38" s="31" t="s">
        <v>28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2:17" ht="9" customHeight="1">
      <c r="B39" s="131" t="s">
        <v>49</v>
      </c>
      <c r="C39" s="34" t="s">
        <v>22</v>
      </c>
      <c r="D39" s="35" t="s">
        <v>28</v>
      </c>
      <c r="E39" s="19">
        <f aca="true" t="shared" si="10" ref="E39:Q39">E41</f>
        <v>300860</v>
      </c>
      <c r="F39" s="19">
        <f t="shared" si="10"/>
        <v>282658</v>
      </c>
      <c r="G39" s="19">
        <f t="shared" si="10"/>
        <v>253750</v>
      </c>
      <c r="H39" s="19">
        <f t="shared" si="10"/>
        <v>197003</v>
      </c>
      <c r="I39" s="19">
        <f t="shared" si="10"/>
        <v>93147</v>
      </c>
      <c r="J39" s="19">
        <f t="shared" si="10"/>
        <v>76016</v>
      </c>
      <c r="K39" s="19">
        <f t="shared" si="10"/>
        <v>73875</v>
      </c>
      <c r="L39" s="19">
        <f t="shared" si="10"/>
        <v>95288</v>
      </c>
      <c r="M39" s="19">
        <f t="shared" si="10"/>
        <v>209850</v>
      </c>
      <c r="N39" s="19">
        <f t="shared" si="10"/>
        <v>244113</v>
      </c>
      <c r="O39" s="19">
        <f t="shared" si="10"/>
        <v>274091</v>
      </c>
      <c r="P39" s="19">
        <f t="shared" si="10"/>
        <v>308349</v>
      </c>
      <c r="Q39" s="19">
        <f t="shared" si="10"/>
        <v>2409000</v>
      </c>
    </row>
    <row r="40" spans="2:17" ht="9" customHeight="1">
      <c r="B40" s="132"/>
      <c r="C40" s="25" t="s">
        <v>24</v>
      </c>
      <c r="D40" s="30" t="s">
        <v>28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9" customHeight="1">
      <c r="B41" s="132"/>
      <c r="C41" s="25" t="s">
        <v>25</v>
      </c>
      <c r="D41" s="30" t="s">
        <v>28</v>
      </c>
      <c r="E41" s="108">
        <f>300859+1</f>
        <v>300860</v>
      </c>
      <c r="F41" s="108">
        <f>282657+1</f>
        <v>282658</v>
      </c>
      <c r="G41" s="108">
        <f>253749+1</f>
        <v>253750</v>
      </c>
      <c r="H41" s="108">
        <v>197003</v>
      </c>
      <c r="I41" s="108">
        <v>93147</v>
      </c>
      <c r="J41" s="108">
        <v>76016</v>
      </c>
      <c r="K41" s="108">
        <v>73875</v>
      </c>
      <c r="L41" s="108">
        <v>95288</v>
      </c>
      <c r="M41" s="108">
        <v>209850</v>
      </c>
      <c r="N41" s="108">
        <v>244113</v>
      </c>
      <c r="O41" s="108">
        <v>274091</v>
      </c>
      <c r="P41" s="108">
        <v>308349</v>
      </c>
      <c r="Q41" s="20">
        <f>E41+F41+G41+H41+I41+J41+K41+L41+M41+N41+O41+P41</f>
        <v>2409000</v>
      </c>
    </row>
    <row r="42" spans="2:17" ht="9" customHeight="1">
      <c r="B42" s="132"/>
      <c r="C42" s="25" t="s">
        <v>26</v>
      </c>
      <c r="D42" s="30" t="s">
        <v>28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2:17" ht="9" customHeight="1" thickBot="1">
      <c r="B43" s="133"/>
      <c r="C43" s="36" t="s">
        <v>27</v>
      </c>
      <c r="D43" s="37" t="s">
        <v>28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9" customHeight="1">
      <c r="A44" s="138">
        <v>3</v>
      </c>
      <c r="B44" s="114" t="s">
        <v>43</v>
      </c>
      <c r="C44" s="34" t="s">
        <v>22</v>
      </c>
      <c r="D44" s="35" t="s">
        <v>28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ht="9" customHeight="1">
      <c r="A45" s="139"/>
      <c r="B45" s="143"/>
      <c r="C45" s="25" t="s">
        <v>24</v>
      </c>
      <c r="D45" s="30" t="s">
        <v>28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1:17" ht="9" customHeight="1">
      <c r="A46" s="139"/>
      <c r="B46" s="143"/>
      <c r="C46" s="25" t="s">
        <v>25</v>
      </c>
      <c r="D46" s="30" t="s">
        <v>28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1:17" ht="9" customHeight="1">
      <c r="A47" s="139"/>
      <c r="B47" s="143"/>
      <c r="C47" s="25" t="s">
        <v>26</v>
      </c>
      <c r="D47" s="30" t="s">
        <v>28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1:17" ht="9" customHeight="1" thickBot="1">
      <c r="A48" s="140"/>
      <c r="B48" s="144"/>
      <c r="C48" s="27" t="s">
        <v>27</v>
      </c>
      <c r="D48" s="31" t="s">
        <v>28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9" customHeight="1">
      <c r="A49" s="138">
        <v>4</v>
      </c>
      <c r="B49" s="141" t="s">
        <v>29</v>
      </c>
      <c r="C49" s="142"/>
      <c r="D49" s="18" t="s">
        <v>28</v>
      </c>
      <c r="E49" s="40">
        <f aca="true" t="shared" si="11" ref="E49:P49">E9-E19</f>
        <v>4241179.641847469</v>
      </c>
      <c r="F49" s="40">
        <f t="shared" si="11"/>
        <v>2463459.5</v>
      </c>
      <c r="G49" s="40">
        <f t="shared" si="11"/>
        <v>2108420.44478995</v>
      </c>
      <c r="H49" s="40">
        <f t="shared" si="11"/>
        <v>1310570.8811639436</v>
      </c>
      <c r="I49" s="40">
        <f t="shared" si="11"/>
        <v>1117658.2790639866</v>
      </c>
      <c r="J49" s="40">
        <f t="shared" si="11"/>
        <v>720561.5</v>
      </c>
      <c r="K49" s="40">
        <f t="shared" si="11"/>
        <v>684503.3067599479</v>
      </c>
      <c r="L49" s="40">
        <f t="shared" si="11"/>
        <v>1043119</v>
      </c>
      <c r="M49" s="40">
        <f t="shared" si="11"/>
        <v>1668500.3072044123</v>
      </c>
      <c r="N49" s="40">
        <f t="shared" si="11"/>
        <v>2852798.546696767</v>
      </c>
      <c r="O49" s="40">
        <f t="shared" si="11"/>
        <v>4227545.9821392</v>
      </c>
      <c r="P49" s="40">
        <f t="shared" si="11"/>
        <v>3776283</v>
      </c>
      <c r="Q49" s="33">
        <f>E49+F49+G49+H49+I49+J49+K49+L49+M49+N49+O49+P49</f>
        <v>26214600.38966568</v>
      </c>
    </row>
    <row r="50" spans="1:17" ht="9" customHeight="1" thickBot="1">
      <c r="A50" s="140"/>
      <c r="B50" s="115"/>
      <c r="C50" s="116"/>
      <c r="D50" s="38" t="s">
        <v>30</v>
      </c>
      <c r="E50" s="41">
        <f aca="true" t="shared" si="12" ref="E50:Q50">E49/E9*100</f>
        <v>19.22363776630438</v>
      </c>
      <c r="F50" s="41">
        <f t="shared" si="12"/>
        <v>12.523199882426903</v>
      </c>
      <c r="G50" s="41">
        <f t="shared" si="12"/>
        <v>11.202814273179067</v>
      </c>
      <c r="H50" s="41">
        <f t="shared" si="12"/>
        <v>7.8752115422335445</v>
      </c>
      <c r="I50" s="41">
        <f t="shared" si="12"/>
        <v>7.42296359224264</v>
      </c>
      <c r="J50" s="41">
        <f t="shared" si="12"/>
        <v>5.9595842343454235</v>
      </c>
      <c r="K50" s="41">
        <f t="shared" si="12"/>
        <v>5.605762496029827</v>
      </c>
      <c r="L50" s="41">
        <f t="shared" si="12"/>
        <v>7.490501504751222</v>
      </c>
      <c r="M50" s="41">
        <f t="shared" si="12"/>
        <v>10.706770414491782</v>
      </c>
      <c r="N50" s="41">
        <f t="shared" si="12"/>
        <v>13.859325684409177</v>
      </c>
      <c r="O50" s="41">
        <f t="shared" si="12"/>
        <v>18.429199666733957</v>
      </c>
      <c r="P50" s="41">
        <f t="shared" si="12"/>
        <v>16.160944611743144</v>
      </c>
      <c r="Q50" s="42">
        <f t="shared" si="12"/>
        <v>12.310011500960439</v>
      </c>
    </row>
    <row r="51" spans="1:17" ht="12.75">
      <c r="A51" s="1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1"/>
    </row>
    <row r="52" spans="1:17" ht="12.75">
      <c r="A52" s="1"/>
      <c r="B52" s="1" t="s">
        <v>31</v>
      </c>
      <c r="C52" s="1"/>
      <c r="D52" s="1"/>
      <c r="E52" s="1"/>
      <c r="F52" s="6"/>
      <c r="G52" s="117" t="s">
        <v>0</v>
      </c>
      <c r="H52" s="117"/>
      <c r="I52" s="117"/>
      <c r="J52" s="1"/>
      <c r="K52" s="1"/>
      <c r="L52" s="1"/>
      <c r="M52" s="153" t="s">
        <v>1</v>
      </c>
      <c r="N52" s="154"/>
      <c r="O52" s="154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 t="s">
        <v>2</v>
      </c>
      <c r="C54" s="1"/>
      <c r="D54" s="1"/>
      <c r="E54" s="1"/>
      <c r="F54" s="1"/>
      <c r="G54" s="2" t="s">
        <v>3</v>
      </c>
      <c r="H54" s="2"/>
      <c r="I54" s="2"/>
      <c r="J54" s="1"/>
      <c r="K54" s="1"/>
      <c r="L54" s="1"/>
      <c r="M54" s="2" t="s">
        <v>35</v>
      </c>
      <c r="N54" s="2"/>
      <c r="O54" s="2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5"/>
    </row>
    <row r="56" spans="1:17" ht="12.75">
      <c r="A56" s="1"/>
      <c r="B56" s="5" t="s">
        <v>34</v>
      </c>
      <c r="C56" s="5"/>
      <c r="D56" s="5"/>
      <c r="E56" s="5"/>
      <c r="F56" s="5"/>
      <c r="G56" s="5" t="s">
        <v>34</v>
      </c>
      <c r="H56" s="5"/>
      <c r="I56" s="5"/>
      <c r="J56" s="5"/>
      <c r="K56" s="5"/>
      <c r="L56" s="1"/>
      <c r="M56" s="5" t="s">
        <v>34</v>
      </c>
      <c r="N56" s="5"/>
      <c r="O56" s="5"/>
      <c r="P56" s="5"/>
      <c r="Q56" s="4"/>
    </row>
    <row r="57" spans="1:17" ht="12.75">
      <c r="A57" s="1"/>
      <c r="B57" s="4" t="s">
        <v>33</v>
      </c>
      <c r="C57" s="4"/>
      <c r="D57" s="4"/>
      <c r="E57" s="4"/>
      <c r="F57" s="4"/>
      <c r="G57" s="4" t="s">
        <v>33</v>
      </c>
      <c r="H57" s="4"/>
      <c r="I57" s="4"/>
      <c r="J57" s="4"/>
      <c r="K57" s="4"/>
      <c r="L57" s="1"/>
      <c r="M57" s="4" t="s">
        <v>33</v>
      </c>
      <c r="N57" s="4"/>
      <c r="O57" s="4"/>
      <c r="P57" s="4"/>
      <c r="Q57" s="1"/>
    </row>
    <row r="58" spans="2:16" ht="12.75">
      <c r="B58" s="3" t="s">
        <v>32</v>
      </c>
      <c r="C58" s="1"/>
      <c r="D58" s="1"/>
      <c r="E58" s="1"/>
      <c r="F58" s="1"/>
      <c r="G58" s="3" t="s">
        <v>32</v>
      </c>
      <c r="H58" s="1"/>
      <c r="I58" s="1"/>
      <c r="J58" s="1"/>
      <c r="K58" s="1"/>
      <c r="L58" s="1"/>
      <c r="M58" s="3" t="s">
        <v>32</v>
      </c>
      <c r="N58" s="1"/>
      <c r="O58" s="1"/>
      <c r="P58" s="1"/>
    </row>
    <row r="62" spans="5:16" ht="12.75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</sheetData>
  <mergeCells count="36">
    <mergeCell ref="M52:O52"/>
    <mergeCell ref="B29:B33"/>
    <mergeCell ref="A29:A33"/>
    <mergeCell ref="A44:A48"/>
    <mergeCell ref="B44:B48"/>
    <mergeCell ref="B39:B43"/>
    <mergeCell ref="A49:A50"/>
    <mergeCell ref="Q6:Q8"/>
    <mergeCell ref="A19:A23"/>
    <mergeCell ref="B19:B23"/>
    <mergeCell ref="K6:K8"/>
    <mergeCell ref="L6:L8"/>
    <mergeCell ref="M6:M8"/>
    <mergeCell ref="N6:N8"/>
    <mergeCell ref="B9:B13"/>
    <mergeCell ref="B14:B18"/>
    <mergeCell ref="I6:I8"/>
    <mergeCell ref="J6:J8"/>
    <mergeCell ref="B49:C50"/>
    <mergeCell ref="G52:I52"/>
    <mergeCell ref="B24:B28"/>
    <mergeCell ref="B34:B38"/>
    <mergeCell ref="A9:A13"/>
    <mergeCell ref="A14:A18"/>
    <mergeCell ref="A34:A38"/>
    <mergeCell ref="A24:A28"/>
    <mergeCell ref="A5:P5"/>
    <mergeCell ref="A6:A8"/>
    <mergeCell ref="B6:C8"/>
    <mergeCell ref="D6:D8"/>
    <mergeCell ref="E6:E8"/>
    <mergeCell ref="F6:F8"/>
    <mergeCell ref="G6:G8"/>
    <mergeCell ref="H6:H8"/>
    <mergeCell ref="O6:O8"/>
    <mergeCell ref="P6:P8"/>
  </mergeCells>
  <printOptions/>
  <pageMargins left="0.1968503937007874" right="0.5511811023622047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Q56"/>
  <sheetViews>
    <sheetView tabSelected="1" workbookViewId="0" topLeftCell="A1">
      <selection activeCell="J59" sqref="J59"/>
    </sheetView>
  </sheetViews>
  <sheetFormatPr defaultColWidth="9.00390625" defaultRowHeight="12.75"/>
  <cols>
    <col min="1" max="1" width="4.25390625" style="0" customWidth="1"/>
    <col min="2" max="2" width="14.125" style="0" customWidth="1"/>
    <col min="4" max="4" width="6.625" style="0" customWidth="1"/>
    <col min="5" max="5" width="7.875" style="0" customWidth="1"/>
    <col min="6" max="6" width="7.375" style="0" customWidth="1"/>
    <col min="7" max="7" width="7.00390625" style="0" customWidth="1"/>
    <col min="8" max="8" width="7.25390625" style="0" customWidth="1"/>
    <col min="9" max="9" width="7.625" style="0" customWidth="1"/>
    <col min="10" max="10" width="7.75390625" style="0" customWidth="1"/>
    <col min="11" max="11" width="7.625" style="0" customWidth="1"/>
    <col min="12" max="12" width="7.375" style="0" customWidth="1"/>
    <col min="13" max="13" width="7.875" style="0" customWidth="1"/>
    <col min="15" max="15" width="8.00390625" style="0" customWidth="1"/>
    <col min="16" max="16" width="8.875" style="0" customWidth="1"/>
    <col min="17" max="17" width="7.625" style="0" customWidth="1"/>
  </cols>
  <sheetData>
    <row r="1" spans="1:17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7" t="s">
        <v>21</v>
      </c>
      <c r="O1" s="8"/>
      <c r="P1" s="7"/>
      <c r="Q1" s="7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N2" s="7" t="s">
        <v>38</v>
      </c>
      <c r="O2" s="8"/>
      <c r="P2" s="7"/>
      <c r="Q2" s="7"/>
    </row>
    <row r="3" spans="1:17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 t="s">
        <v>39</v>
      </c>
      <c r="O3" s="8"/>
      <c r="P3" s="7"/>
      <c r="Q3" s="7"/>
    </row>
    <row r="4" spans="1:17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N4" s="7" t="s">
        <v>44</v>
      </c>
      <c r="O4" s="8"/>
      <c r="P4" s="7"/>
      <c r="Q4" s="7"/>
    </row>
    <row r="5" spans="1:17" ht="16.5" thickBot="1">
      <c r="A5" s="122" t="s">
        <v>56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9"/>
      <c r="Q5" s="7"/>
    </row>
    <row r="6" spans="1:17" ht="22.5" customHeight="1" thickBot="1">
      <c r="A6" s="16" t="s">
        <v>5</v>
      </c>
      <c r="B6" s="127" t="s">
        <v>6</v>
      </c>
      <c r="C6" s="128"/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</row>
    <row r="7" spans="1:17" ht="9" customHeight="1" thickBot="1">
      <c r="A7" s="78">
        <v>1</v>
      </c>
      <c r="B7" s="79" t="s">
        <v>40</v>
      </c>
      <c r="C7" s="43" t="s">
        <v>22</v>
      </c>
      <c r="D7" s="44" t="s">
        <v>23</v>
      </c>
      <c r="E7" s="45">
        <f aca="true" t="shared" si="0" ref="E7:J7">E8+E9+E10+E11</f>
        <v>43.073173285035466</v>
      </c>
      <c r="F7" s="45">
        <f t="shared" si="0"/>
        <v>39.617363374751775</v>
      </c>
      <c r="G7" s="45">
        <f t="shared" si="0"/>
        <v>37.4252702412766</v>
      </c>
      <c r="H7" s="45">
        <f t="shared" si="0"/>
        <v>34.83243390851064</v>
      </c>
      <c r="I7" s="45">
        <f t="shared" si="0"/>
        <v>34.4339270370922</v>
      </c>
      <c r="J7" s="45">
        <f t="shared" si="0"/>
        <v>33.316626041773056</v>
      </c>
      <c r="K7" s="45">
        <f aca="true" t="shared" si="1" ref="K7:P7">K8+K9+K10+K11</f>
        <v>33.050948464113475</v>
      </c>
      <c r="L7" s="45">
        <f t="shared" si="1"/>
        <v>34.48425462695036</v>
      </c>
      <c r="M7" s="45">
        <f t="shared" si="1"/>
        <v>37.06989102624114</v>
      </c>
      <c r="N7" s="45">
        <f t="shared" si="1"/>
        <v>37.512125554042555</v>
      </c>
      <c r="O7" s="45">
        <f t="shared" si="1"/>
        <v>44.07613353014184</v>
      </c>
      <c r="P7" s="45">
        <f t="shared" si="1"/>
        <v>44.22812375377858</v>
      </c>
      <c r="Q7" s="45">
        <f aca="true" t="shared" si="2" ref="Q7:Q17">(E7+F7+G7+H7+I7+J7+K7+L7+M7+N7+O7+P7)/12</f>
        <v>37.76002257030897</v>
      </c>
    </row>
    <row r="8" spans="1:17" ht="9" customHeight="1" thickBot="1">
      <c r="A8" s="80"/>
      <c r="B8" s="81"/>
      <c r="C8" s="46" t="s">
        <v>24</v>
      </c>
      <c r="D8" s="44" t="s">
        <v>23</v>
      </c>
      <c r="E8" s="47">
        <f aca="true" t="shared" si="3" ref="E8:J9">E13</f>
        <v>30.812322695035466</v>
      </c>
      <c r="F8" s="47">
        <f t="shared" si="3"/>
        <v>28.138741134751776</v>
      </c>
      <c r="G8" s="47">
        <f t="shared" si="3"/>
        <v>26.643617021276597</v>
      </c>
      <c r="H8" s="47">
        <f t="shared" si="3"/>
        <v>24.81994680851064</v>
      </c>
      <c r="I8" s="47">
        <f t="shared" si="3"/>
        <v>24.5395390070922</v>
      </c>
      <c r="J8" s="47">
        <f t="shared" si="3"/>
        <v>23.753634751773053</v>
      </c>
      <c r="K8" s="47">
        <f aca="true" t="shared" si="4" ref="K8:P9">K13</f>
        <v>23.566932624113477</v>
      </c>
      <c r="L8" s="47">
        <f t="shared" si="4"/>
        <v>24.57774822695036</v>
      </c>
      <c r="M8" s="47">
        <f t="shared" si="4"/>
        <v>26.39379432624114</v>
      </c>
      <c r="N8" s="47">
        <f t="shared" si="4"/>
        <v>26.704787234042556</v>
      </c>
      <c r="O8" s="47">
        <f t="shared" si="4"/>
        <v>31.324290780141844</v>
      </c>
      <c r="P8" s="47">
        <f t="shared" si="4"/>
        <v>31.40434360377858</v>
      </c>
      <c r="Q8" s="47">
        <f t="shared" si="2"/>
        <v>26.889974851142302</v>
      </c>
    </row>
    <row r="9" spans="1:17" ht="9" customHeight="1" thickBot="1">
      <c r="A9" s="80"/>
      <c r="B9" s="81"/>
      <c r="C9" s="46" t="s">
        <v>25</v>
      </c>
      <c r="D9" s="44" t="s">
        <v>23</v>
      </c>
      <c r="E9" s="47">
        <f t="shared" si="3"/>
        <v>2.5508</v>
      </c>
      <c r="F9" s="47">
        <f t="shared" si="3"/>
        <v>2.4294000000000002</v>
      </c>
      <c r="G9" s="47">
        <f t="shared" si="3"/>
        <v>2.2539</v>
      </c>
      <c r="H9" s="47">
        <f t="shared" si="3"/>
        <v>2.1005</v>
      </c>
      <c r="I9" s="47">
        <f t="shared" si="3"/>
        <v>2.0769</v>
      </c>
      <c r="J9" s="47">
        <f t="shared" si="3"/>
        <v>2.0109</v>
      </c>
      <c r="K9" s="47">
        <f t="shared" si="4"/>
        <v>1.9952</v>
      </c>
      <c r="L9" s="47">
        <f t="shared" si="4"/>
        <v>2.0794</v>
      </c>
      <c r="M9" s="47">
        <f t="shared" si="4"/>
        <v>2.2329</v>
      </c>
      <c r="N9" s="47">
        <f t="shared" si="4"/>
        <v>2.2591</v>
      </c>
      <c r="O9" s="47">
        <f t="shared" si="4"/>
        <v>2.6475</v>
      </c>
      <c r="P9" s="47">
        <f t="shared" si="4"/>
        <v>2.6652</v>
      </c>
      <c r="Q9" s="47">
        <f t="shared" si="2"/>
        <v>2.275141666666667</v>
      </c>
    </row>
    <row r="10" spans="1:17" ht="9" customHeight="1" thickBot="1">
      <c r="A10" s="80"/>
      <c r="B10" s="81"/>
      <c r="C10" s="46" t="s">
        <v>26</v>
      </c>
      <c r="D10" s="44" t="s">
        <v>23</v>
      </c>
      <c r="E10" s="47">
        <f>7.7953*1.0403</f>
        <v>8.10945059</v>
      </c>
      <c r="F10" s="47">
        <f>7.3008*1.0403</f>
        <v>7.59502224</v>
      </c>
      <c r="G10" s="47">
        <f>6.8574*1.0403</f>
        <v>7.13375322</v>
      </c>
      <c r="H10" s="47">
        <f>6.357*1.0403</f>
        <v>6.6131871</v>
      </c>
      <c r="I10" s="47">
        <f>6.2801*1.0403</f>
        <v>6.53318803</v>
      </c>
      <c r="J10" s="47">
        <f>6.0643*1.0403</f>
        <v>6.3086912900000005</v>
      </c>
      <c r="K10" s="47">
        <f>6.0128*1.0403</f>
        <v>6.25511584</v>
      </c>
      <c r="L10" s="47">
        <f>6.288*1.0403</f>
        <v>6.5414064000000005</v>
      </c>
      <c r="M10" s="47">
        <f>6.789*1.0403</f>
        <v>7.062596699999999</v>
      </c>
      <c r="N10" s="47">
        <f>6.8744*1.0403</f>
        <v>7.15143832</v>
      </c>
      <c r="O10" s="47">
        <f>8.1425*1.0403</f>
        <v>8.47064275</v>
      </c>
      <c r="P10" s="47">
        <f>8.2005*1.0403</f>
        <v>8.53098015</v>
      </c>
      <c r="Q10" s="47">
        <f t="shared" si="2"/>
        <v>7.192122719166666</v>
      </c>
    </row>
    <row r="11" spans="1:17" ht="9" customHeight="1" thickBot="1">
      <c r="A11" s="82"/>
      <c r="B11" s="83"/>
      <c r="C11" s="48" t="s">
        <v>27</v>
      </c>
      <c r="D11" s="44" t="s">
        <v>23</v>
      </c>
      <c r="E11" s="49">
        <f>E16+0.4825</f>
        <v>1.6006</v>
      </c>
      <c r="F11" s="49">
        <f>F16+0.4319</f>
        <v>1.4542</v>
      </c>
      <c r="G11" s="49">
        <f>G16+0.414</f>
        <v>1.394</v>
      </c>
      <c r="H11" s="49">
        <f>H16+0.3857</f>
        <v>1.2988</v>
      </c>
      <c r="I11" s="49">
        <f>I16+0.3814</f>
        <v>1.2843</v>
      </c>
      <c r="J11" s="49">
        <f>J16+0.3693</f>
        <v>1.2434</v>
      </c>
      <c r="K11" s="49">
        <f>K16+0.3664</f>
        <v>1.2337</v>
      </c>
      <c r="L11" s="49">
        <f>L16+0.3818</f>
        <v>1.2857</v>
      </c>
      <c r="M11" s="49">
        <f>M16+0.41</f>
        <v>1.3806</v>
      </c>
      <c r="N11" s="49">
        <f>N16+0.4148</f>
        <v>1.3968</v>
      </c>
      <c r="O11" s="49">
        <f>O16+0.4862</f>
        <v>1.6337</v>
      </c>
      <c r="P11" s="49">
        <f>P16+0.489</f>
        <v>1.6276000000000002</v>
      </c>
      <c r="Q11" s="49">
        <f>(E11+F11+G11+H11+I11+J11+K11+L11+M11+N11+O11+P11)/12</f>
        <v>1.4027833333333335</v>
      </c>
    </row>
    <row r="12" spans="1:17" ht="9" customHeight="1" thickBot="1">
      <c r="A12" s="78" t="s">
        <v>41</v>
      </c>
      <c r="B12" s="162" t="s">
        <v>46</v>
      </c>
      <c r="C12" s="43" t="s">
        <v>22</v>
      </c>
      <c r="D12" s="44" t="s">
        <v>23</v>
      </c>
      <c r="E12" s="45">
        <f>E13+E14+E15+E16</f>
        <v>36.128615874180895</v>
      </c>
      <c r="F12" s="45">
        <f>F13+F14+F15+F16</f>
        <v>33.13307147579451</v>
      </c>
      <c r="G12" s="45">
        <f>G13+G14+G15+G16</f>
        <v>31.321166570472993</v>
      </c>
      <c r="H12" s="45">
        <f aca="true" t="shared" si="5" ref="H12:P12">H13+H14+H15+H16</f>
        <v>29.17899957213275</v>
      </c>
      <c r="I12" s="45">
        <f t="shared" si="5"/>
        <v>28.84969964997734</v>
      </c>
      <c r="J12" s="45">
        <f t="shared" si="5"/>
        <v>27.926659055967484</v>
      </c>
      <c r="K12" s="45">
        <f t="shared" si="5"/>
        <v>27.707362847555267</v>
      </c>
      <c r="L12" s="45">
        <f t="shared" si="5"/>
        <v>28.892976882379603</v>
      </c>
      <c r="M12" s="45">
        <f t="shared" si="5"/>
        <v>31.027517768028677</v>
      </c>
      <c r="N12" s="45">
        <f t="shared" si="5"/>
        <v>31.392868809895162</v>
      </c>
      <c r="O12" s="45">
        <f t="shared" si="5"/>
        <v>36.81509634658638</v>
      </c>
      <c r="P12" s="45">
        <f t="shared" si="5"/>
        <v>36.91531726116784</v>
      </c>
      <c r="Q12" s="50">
        <f t="shared" si="2"/>
        <v>31.607446009511573</v>
      </c>
    </row>
    <row r="13" spans="1:17" ht="9" customHeight="1" thickBot="1">
      <c r="A13" s="80"/>
      <c r="B13" s="163"/>
      <c r="C13" s="46" t="s">
        <v>24</v>
      </c>
      <c r="D13" s="44" t="s">
        <v>23</v>
      </c>
      <c r="E13" s="47">
        <f>34.7563/1.128</f>
        <v>30.812322695035466</v>
      </c>
      <c r="F13" s="47">
        <f>31.7405/1.128</f>
        <v>28.138741134751776</v>
      </c>
      <c r="G13" s="47">
        <f>30.054/1.128</f>
        <v>26.643617021276597</v>
      </c>
      <c r="H13" s="47">
        <f>27.9969/1.128</f>
        <v>24.81994680851064</v>
      </c>
      <c r="I13" s="47">
        <f>27.6806/1.128</f>
        <v>24.5395390070922</v>
      </c>
      <c r="J13" s="47">
        <f>26.7941/1.128</f>
        <v>23.753634751773053</v>
      </c>
      <c r="K13" s="47">
        <f>26.5835/1.128</f>
        <v>23.566932624113477</v>
      </c>
      <c r="L13" s="47">
        <f>27.7237/1.128</f>
        <v>24.57774822695036</v>
      </c>
      <c r="M13" s="47">
        <f>29.7722/1.128</f>
        <v>26.39379432624114</v>
      </c>
      <c r="N13" s="47">
        <f>30.123/1.128</f>
        <v>26.704787234042556</v>
      </c>
      <c r="O13" s="47">
        <f>35.3338/1.128</f>
        <v>31.324290780141844</v>
      </c>
      <c r="P13" s="47">
        <f>35.5717/1.1327</f>
        <v>31.40434360377858</v>
      </c>
      <c r="Q13" s="51">
        <f>(E13+F13+G13+H13+I13+J13+K13+L13+M13+N13+O13+P13)/12</f>
        <v>26.889974851142302</v>
      </c>
    </row>
    <row r="14" spans="1:17" ht="9" customHeight="1" thickBot="1">
      <c r="A14" s="80"/>
      <c r="B14" s="163"/>
      <c r="C14" s="46" t="s">
        <v>25</v>
      </c>
      <c r="D14" s="44" t="s">
        <v>23</v>
      </c>
      <c r="E14" s="47">
        <f>2.5508</f>
        <v>2.5508</v>
      </c>
      <c r="F14" s="47">
        <f>2.3517+0.0777</f>
        <v>2.4294000000000002</v>
      </c>
      <c r="G14" s="47">
        <v>2.2539</v>
      </c>
      <c r="H14" s="47">
        <v>2.1005</v>
      </c>
      <c r="I14" s="47">
        <v>2.0769</v>
      </c>
      <c r="J14" s="47">
        <v>2.0109</v>
      </c>
      <c r="K14" s="47">
        <v>1.9952</v>
      </c>
      <c r="L14" s="47">
        <v>2.0794</v>
      </c>
      <c r="M14" s="47">
        <v>2.2329</v>
      </c>
      <c r="N14" s="47">
        <v>2.2591</v>
      </c>
      <c r="O14" s="47">
        <v>2.6475</v>
      </c>
      <c r="P14" s="47">
        <v>2.6652</v>
      </c>
      <c r="Q14" s="51">
        <f t="shared" si="2"/>
        <v>2.275141666666667</v>
      </c>
    </row>
    <row r="15" spans="1:17" ht="9" customHeight="1" thickBot="1">
      <c r="A15" s="80"/>
      <c r="B15" s="163"/>
      <c r="C15" s="46" t="s">
        <v>26</v>
      </c>
      <c r="D15" s="44" t="s">
        <v>23</v>
      </c>
      <c r="E15" s="47">
        <f>1.681/1.0204</f>
        <v>1.6473931791454333</v>
      </c>
      <c r="F15" s="47">
        <f>(1.5371+0.037)/1.0204</f>
        <v>1.5426303410427282</v>
      </c>
      <c r="G15" s="47">
        <f>1.4731/1.0204</f>
        <v>1.4436495491963937</v>
      </c>
      <c r="H15" s="47">
        <f>1.3729/1.0204</f>
        <v>1.345452763622109</v>
      </c>
      <c r="I15" s="47">
        <f>1.3575/1.0204</f>
        <v>1.330360642885143</v>
      </c>
      <c r="J15" s="47">
        <f>1.3143/1.0204</f>
        <v>1.2880243041944337</v>
      </c>
      <c r="K15" s="47">
        <f>1.304/1.0204</f>
        <v>1.2779302234417875</v>
      </c>
      <c r="L15" s="47">
        <f>1.3591/1.0204</f>
        <v>1.3319286554292435</v>
      </c>
      <c r="M15" s="47">
        <f>1.4594/1.0204</f>
        <v>1.4302234417875344</v>
      </c>
      <c r="N15" s="47">
        <f>1.4765/1.0204</f>
        <v>1.4469815758526068</v>
      </c>
      <c r="O15" s="47">
        <f>1.7304/1.0204</f>
        <v>1.6958055664445315</v>
      </c>
      <c r="P15" s="47">
        <f>1.742/1.0204</f>
        <v>1.707173657389259</v>
      </c>
      <c r="Q15" s="51">
        <f t="shared" si="2"/>
        <v>1.4572961583692672</v>
      </c>
    </row>
    <row r="16" spans="1:17" ht="9" customHeight="1" thickBot="1">
      <c r="A16" s="82"/>
      <c r="B16" s="164"/>
      <c r="C16" s="52" t="s">
        <v>27</v>
      </c>
      <c r="D16" s="44" t="s">
        <v>23</v>
      </c>
      <c r="E16" s="53">
        <f>1.1181</f>
        <v>1.1181</v>
      </c>
      <c r="F16" s="53">
        <f>1.0223</f>
        <v>1.0223</v>
      </c>
      <c r="G16" s="53">
        <v>0.98</v>
      </c>
      <c r="H16" s="53">
        <v>0.9131</v>
      </c>
      <c r="I16" s="53">
        <v>0.9029</v>
      </c>
      <c r="J16" s="53">
        <v>0.8741</v>
      </c>
      <c r="K16" s="53">
        <v>0.8673</v>
      </c>
      <c r="L16" s="53">
        <v>0.9039</v>
      </c>
      <c r="M16" s="53">
        <v>0.9706</v>
      </c>
      <c r="N16" s="53">
        <v>0.982</v>
      </c>
      <c r="O16" s="53">
        <v>1.1475</v>
      </c>
      <c r="P16" s="53">
        <v>1.1386</v>
      </c>
      <c r="Q16" s="54">
        <f t="shared" si="2"/>
        <v>0.9850333333333333</v>
      </c>
    </row>
    <row r="17" spans="1:17" ht="9" customHeight="1" thickBot="1">
      <c r="A17" s="84">
        <f>A7+1</f>
        <v>2</v>
      </c>
      <c r="B17" s="114" t="s">
        <v>47</v>
      </c>
      <c r="C17" s="23" t="s">
        <v>22</v>
      </c>
      <c r="D17" s="18" t="s">
        <v>23</v>
      </c>
      <c r="E17" s="55">
        <f aca="true" t="shared" si="6" ref="E17:P17">E19+E20+E21</f>
        <v>35.36770005181158</v>
      </c>
      <c r="F17" s="55">
        <f t="shared" si="6"/>
        <v>34.03710203465068</v>
      </c>
      <c r="G17" s="55">
        <f t="shared" si="6"/>
        <v>32.800939613133444</v>
      </c>
      <c r="H17" s="55">
        <f t="shared" si="6"/>
        <v>31.611245705158936</v>
      </c>
      <c r="I17" s="55">
        <f t="shared" si="6"/>
        <v>31.474711433137905</v>
      </c>
      <c r="J17" s="55">
        <f t="shared" si="6"/>
        <v>30.957001101685723</v>
      </c>
      <c r="K17" s="55">
        <f t="shared" si="6"/>
        <v>30.82927307878626</v>
      </c>
      <c r="L17" s="55">
        <f t="shared" si="6"/>
        <v>31.500100113773314</v>
      </c>
      <c r="M17" s="55">
        <f t="shared" si="6"/>
        <v>32.64564090714464</v>
      </c>
      <c r="N17" s="55">
        <f t="shared" si="6"/>
        <v>32.840275372119535</v>
      </c>
      <c r="O17" s="55">
        <f t="shared" si="6"/>
        <v>35.44618776763818</v>
      </c>
      <c r="P17" s="55">
        <f t="shared" si="6"/>
        <v>35.57952853012884</v>
      </c>
      <c r="Q17" s="55">
        <f t="shared" si="2"/>
        <v>32.92414214243075</v>
      </c>
    </row>
    <row r="18" spans="1:17" ht="9" customHeight="1" thickBot="1">
      <c r="A18" s="85"/>
      <c r="B18" s="165"/>
      <c r="C18" s="25" t="s">
        <v>24</v>
      </c>
      <c r="D18" s="18" t="s">
        <v>23</v>
      </c>
      <c r="E18" s="57"/>
      <c r="F18" s="57"/>
      <c r="G18" s="57"/>
      <c r="H18" s="57"/>
      <c r="I18" s="57"/>
      <c r="J18" s="57"/>
      <c r="K18" s="57"/>
      <c r="L18" s="57"/>
      <c r="M18" s="58"/>
      <c r="N18" s="57"/>
      <c r="O18" s="57"/>
      <c r="P18" s="57"/>
      <c r="Q18" s="57"/>
    </row>
    <row r="19" spans="1:17" ht="9" customHeight="1" thickBot="1">
      <c r="A19" s="85"/>
      <c r="B19" s="165"/>
      <c r="C19" s="25" t="s">
        <v>25</v>
      </c>
      <c r="D19" s="18" t="s">
        <v>23</v>
      </c>
      <c r="E19" s="47">
        <f>E29+E39</f>
        <v>1.2271767240797704</v>
      </c>
      <c r="F19" s="47">
        <f>F29+F39</f>
        <v>1.1592662834714826</v>
      </c>
      <c r="G19" s="47">
        <f>G29+G39</f>
        <v>1.1171470316900494</v>
      </c>
      <c r="H19" s="47">
        <f>H29+H39</f>
        <v>1.0772454576984025</v>
      </c>
      <c r="I19" s="47">
        <f>I29+I39</f>
        <v>1.0720780581388674</v>
      </c>
      <c r="J19" s="47">
        <f>J29+J39</f>
        <v>1.0544326584709514</v>
      </c>
      <c r="K19" s="47">
        <f>K29+K39</f>
        <v>1.049979659241186</v>
      </c>
      <c r="L19" s="47">
        <f>L29+L39</f>
        <v>1.0654533575931455</v>
      </c>
      <c r="M19" s="47">
        <f>M29+M39</f>
        <v>1.0953943838164548</v>
      </c>
      <c r="N19" s="47">
        <f>N29+N39</f>
        <v>1.1184925337240166</v>
      </c>
      <c r="O19" s="47">
        <f>O29+O39</f>
        <v>1.2087667104025295</v>
      </c>
      <c r="P19" s="47">
        <f>P29+P39</f>
        <v>1.2142927525139644</v>
      </c>
      <c r="Q19" s="47">
        <f>(E19+F19+G19+H19+I19+J19+K19+L19+M19+N19+O19+P19)/12</f>
        <v>1.1216438009034018</v>
      </c>
    </row>
    <row r="20" spans="1:17" ht="9" customHeight="1" thickBot="1">
      <c r="A20" s="85"/>
      <c r="B20" s="165"/>
      <c r="C20" s="25" t="s">
        <v>26</v>
      </c>
      <c r="D20" s="18" t="s">
        <v>23</v>
      </c>
      <c r="E20" s="47">
        <f>E30</f>
        <v>8.541980797731812</v>
      </c>
      <c r="F20" s="47">
        <f>F30</f>
        <v>8.226754301179199</v>
      </c>
      <c r="G20" s="47">
        <f>G30</f>
        <v>7.927830401443392</v>
      </c>
      <c r="H20" s="47">
        <f>H30</f>
        <v>7.626973387460532</v>
      </c>
      <c r="I20" s="47">
        <f>I30</f>
        <v>7.607191184999033</v>
      </c>
      <c r="J20" s="47">
        <f>J30</f>
        <v>7.482118693214768</v>
      </c>
      <c r="K20" s="47">
        <f>K30</f>
        <v>7.451317739545074</v>
      </c>
      <c r="L20" s="47">
        <f>L30</f>
        <v>7.619563116180166</v>
      </c>
      <c r="M20" s="47">
        <f>M30</f>
        <v>7.905019653328178</v>
      </c>
      <c r="N20" s="47">
        <f>N30</f>
        <v>7.937367098395515</v>
      </c>
      <c r="O20" s="47">
        <f>O30</f>
        <v>8.566789097235647</v>
      </c>
      <c r="P20" s="47">
        <f>P30</f>
        <v>8.612489527614875</v>
      </c>
      <c r="Q20" s="47">
        <f>(E20+F20+G20+H20+I20+J20+K20+L20+M20+N20+O20+P20)/12</f>
        <v>7.958782916527348</v>
      </c>
    </row>
    <row r="21" spans="1:17" ht="9" customHeight="1" thickBot="1">
      <c r="A21" s="85"/>
      <c r="B21" s="165"/>
      <c r="C21" s="36" t="s">
        <v>27</v>
      </c>
      <c r="D21" s="76" t="s">
        <v>23</v>
      </c>
      <c r="E21" s="59">
        <f aca="true" t="shared" si="7" ref="E21:P21">E31</f>
        <v>25.598542530000003</v>
      </c>
      <c r="F21" s="59">
        <f t="shared" si="7"/>
        <v>24.65108145</v>
      </c>
      <c r="G21" s="59">
        <f t="shared" si="7"/>
        <v>23.75596218</v>
      </c>
      <c r="H21" s="59">
        <f t="shared" si="7"/>
        <v>22.907026860000002</v>
      </c>
      <c r="I21" s="59">
        <f t="shared" si="7"/>
        <v>22.795442190000003</v>
      </c>
      <c r="J21" s="59">
        <f t="shared" si="7"/>
        <v>22.420449750000003</v>
      </c>
      <c r="K21" s="59">
        <f t="shared" si="7"/>
        <v>22.32797568</v>
      </c>
      <c r="L21" s="59">
        <f t="shared" si="7"/>
        <v>22.81508364</v>
      </c>
      <c r="M21" s="59">
        <f t="shared" si="7"/>
        <v>23.645226870000002</v>
      </c>
      <c r="N21" s="59">
        <f t="shared" si="7"/>
        <v>23.784415740000004</v>
      </c>
      <c r="O21" s="59">
        <f t="shared" si="7"/>
        <v>25.67063196</v>
      </c>
      <c r="P21" s="59">
        <f t="shared" si="7"/>
        <v>25.752746249999998</v>
      </c>
      <c r="Q21" s="59">
        <f>(E21+F21+G21+H21+I21+J21+K21+L21+M21+N21+O21+P21)/12</f>
        <v>23.843715425000003</v>
      </c>
    </row>
    <row r="22" spans="1:17" ht="9" customHeight="1" thickBot="1">
      <c r="A22" s="173" t="s">
        <v>50</v>
      </c>
      <c r="B22" s="114" t="s">
        <v>53</v>
      </c>
      <c r="C22" s="17" t="s">
        <v>22</v>
      </c>
      <c r="D22" s="21" t="s">
        <v>23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ht="9" customHeight="1" thickBot="1">
      <c r="A23" s="174"/>
      <c r="B23" s="143"/>
      <c r="C23" s="25" t="s">
        <v>24</v>
      </c>
      <c r="D23" s="21" t="s">
        <v>23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ht="9" customHeight="1" thickBot="1">
      <c r="A24" s="174"/>
      <c r="B24" s="143"/>
      <c r="C24" s="25" t="s">
        <v>25</v>
      </c>
      <c r="D24" s="21" t="s">
        <v>23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ht="9" customHeight="1" thickBot="1">
      <c r="A25" s="174"/>
      <c r="B25" s="143"/>
      <c r="C25" s="25" t="s">
        <v>26</v>
      </c>
      <c r="D25" s="21" t="s">
        <v>23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ht="9" customHeight="1" thickBot="1">
      <c r="A26" s="175"/>
      <c r="B26" s="144"/>
      <c r="C26" s="27" t="s">
        <v>27</v>
      </c>
      <c r="D26" s="90" t="s">
        <v>23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9" customHeight="1" thickBot="1">
      <c r="A27" s="86" t="s">
        <v>36</v>
      </c>
      <c r="B27" s="166" t="s">
        <v>37</v>
      </c>
      <c r="C27" s="63" t="s">
        <v>22</v>
      </c>
      <c r="D27" s="77" t="s">
        <v>23</v>
      </c>
      <c r="E27" s="55">
        <f aca="true" t="shared" si="8" ref="E27:P27">E29+E30+E31</f>
        <v>34.879132240684754</v>
      </c>
      <c r="F27" s="55">
        <f t="shared" si="8"/>
        <v>33.566632086039675</v>
      </c>
      <c r="G27" s="55">
        <f t="shared" si="8"/>
        <v>32.347599328632064</v>
      </c>
      <c r="H27" s="55">
        <f t="shared" si="8"/>
        <v>31.17406688636099</v>
      </c>
      <c r="I27" s="55">
        <f t="shared" si="8"/>
        <v>31.039617964753305</v>
      </c>
      <c r="J27" s="55">
        <f t="shared" si="8"/>
        <v>30.529057406146883</v>
      </c>
      <c r="K27" s="55">
        <f t="shared" si="8"/>
        <v>30.403116826458863</v>
      </c>
      <c r="L27" s="55">
        <f t="shared" si="8"/>
        <v>31.06463426138633</v>
      </c>
      <c r="M27" s="55">
        <f>M29+M30+M31</f>
        <v>32.19431149625613</v>
      </c>
      <c r="N27" s="55">
        <f t="shared" si="8"/>
        <v>32.38633927321435</v>
      </c>
      <c r="O27" s="55">
        <f t="shared" si="8"/>
        <v>34.956204897302285</v>
      </c>
      <c r="P27" s="55">
        <f t="shared" si="8"/>
        <v>35.086268680571976</v>
      </c>
      <c r="Q27" s="55">
        <f>(E27+F27+G27+H27+I27+J27+K27+L27+M27+N27+O27+P27)/12</f>
        <v>32.4689151123173</v>
      </c>
    </row>
    <row r="28" spans="1:17" ht="9" customHeight="1" thickBot="1">
      <c r="A28" s="86"/>
      <c r="B28" s="167"/>
      <c r="C28" s="65" t="s">
        <v>24</v>
      </c>
      <c r="D28" s="64" t="s">
        <v>23</v>
      </c>
      <c r="E28" s="55"/>
      <c r="F28" s="55"/>
      <c r="G28" s="55"/>
      <c r="H28" s="55"/>
      <c r="I28" s="55"/>
      <c r="J28" s="178"/>
      <c r="K28" s="55"/>
      <c r="L28" s="55"/>
      <c r="M28" s="55"/>
      <c r="N28" s="55"/>
      <c r="O28" s="55"/>
      <c r="P28" s="55"/>
      <c r="Q28" s="55"/>
    </row>
    <row r="29" spans="1:17" ht="9" customHeight="1" thickBot="1">
      <c r="A29" s="86"/>
      <c r="B29" s="167"/>
      <c r="C29" s="65" t="s">
        <v>25</v>
      </c>
      <c r="D29" s="64" t="s">
        <v>23</v>
      </c>
      <c r="E29" s="47">
        <f>0.8867/1.2005</f>
        <v>0.7386089129529364</v>
      </c>
      <c r="F29" s="47">
        <f>0.8269/1.2005</f>
        <v>0.6887963348604749</v>
      </c>
      <c r="G29" s="47">
        <f>0.7969/1.2005</f>
        <v>0.6638067471886715</v>
      </c>
      <c r="H29" s="47">
        <f>0.7684/1.2005</f>
        <v>0.6400666389004581</v>
      </c>
      <c r="I29" s="47">
        <f>0.7647/1.2005</f>
        <v>0.6369845897542692</v>
      </c>
      <c r="J29" s="47">
        <f>0.7521/1.2005</f>
        <v>0.6264889629321116</v>
      </c>
      <c r="K29" s="47">
        <f>0.7489/1.2005</f>
        <v>0.623823406913786</v>
      </c>
      <c r="L29" s="47">
        <f>0.7563/1.2005</f>
        <v>0.6299875052061641</v>
      </c>
      <c r="M29" s="47">
        <f>0.7732/1.2005</f>
        <v>0.6440649729279467</v>
      </c>
      <c r="N29" s="47">
        <f>0.7978/1.2005</f>
        <v>0.6645564348188255</v>
      </c>
      <c r="O29" s="47">
        <f>0.8629/1.2005</f>
        <v>0.718783840066639</v>
      </c>
      <c r="P29" s="47">
        <f>0.8656/1.2005</f>
        <v>0.7210329029571013</v>
      </c>
      <c r="Q29" s="47">
        <f>(E29+F29+G29+H29+I29+J29+K29+L29+M29+N29+O29+P29)/12</f>
        <v>0.6664167707899487</v>
      </c>
    </row>
    <row r="30" spans="1:17" ht="9" customHeight="1" thickBot="1">
      <c r="A30" s="86"/>
      <c r="B30" s="167"/>
      <c r="C30" s="65" t="s">
        <v>26</v>
      </c>
      <c r="D30" s="64" t="s">
        <v>23</v>
      </c>
      <c r="E30" s="47">
        <f>13.2563/1.5519</f>
        <v>8.541980797731812</v>
      </c>
      <c r="F30" s="47">
        <f>12.7671/1.5519</f>
        <v>8.226754301179199</v>
      </c>
      <c r="G30" s="47">
        <f>12.3032/1.5519</f>
        <v>7.927830401443392</v>
      </c>
      <c r="H30" s="47">
        <f>11.8363/1.5519</f>
        <v>7.626973387460532</v>
      </c>
      <c r="I30" s="47">
        <f>11.8056/1.5519</f>
        <v>7.607191184999033</v>
      </c>
      <c r="J30" s="47">
        <f>11.6115/1.5519</f>
        <v>7.482118693214768</v>
      </c>
      <c r="K30" s="47">
        <f>11.5637/1.5519</f>
        <v>7.451317739545074</v>
      </c>
      <c r="L30" s="47">
        <f>11.8248/1.5519</f>
        <v>7.619563116180166</v>
      </c>
      <c r="M30" s="47">
        <f>12.2678/1.5519</f>
        <v>7.905019653328178</v>
      </c>
      <c r="N30" s="47">
        <f>12.318/1.5519</f>
        <v>7.937367098395515</v>
      </c>
      <c r="O30" s="47">
        <f>13.2948/1.5519</f>
        <v>8.566789097235647</v>
      </c>
      <c r="P30" s="47">
        <f>13.364/1.5517</f>
        <v>8.612489527614875</v>
      </c>
      <c r="Q30" s="47">
        <f>(E30+F30+G30+H30+I30+J30+K30+L30+M30+N30+O30+P30)/12</f>
        <v>7.958782916527348</v>
      </c>
    </row>
    <row r="31" spans="1:17" ht="9" customHeight="1" thickBot="1">
      <c r="A31" s="87"/>
      <c r="B31" s="168"/>
      <c r="C31" s="67" t="s">
        <v>27</v>
      </c>
      <c r="D31" s="93" t="s">
        <v>23</v>
      </c>
      <c r="E31" s="49">
        <f>24.1109*1.0617</f>
        <v>25.598542530000003</v>
      </c>
      <c r="F31" s="49">
        <f>23.2185*1.0617</f>
        <v>24.65108145</v>
      </c>
      <c r="G31" s="49">
        <f>22.3754*1.0617</f>
        <v>23.75596218</v>
      </c>
      <c r="H31" s="49">
        <f>21.5758*1.0617</f>
        <v>22.907026860000002</v>
      </c>
      <c r="I31" s="49">
        <f>21.4707*1.0617</f>
        <v>22.795442190000003</v>
      </c>
      <c r="J31" s="49">
        <f>21.1175*1.0617</f>
        <v>22.420449750000003</v>
      </c>
      <c r="K31" s="49">
        <f>21.0304*1.0617</f>
        <v>22.32797568</v>
      </c>
      <c r="L31" s="49">
        <f>21.4892*1.0617</f>
        <v>22.81508364</v>
      </c>
      <c r="M31" s="49">
        <f>22.2711*1.0617</f>
        <v>23.645226870000002</v>
      </c>
      <c r="N31" s="49">
        <f>22.4022*1.0617</f>
        <v>23.784415740000004</v>
      </c>
      <c r="O31" s="49">
        <f>24.1788*1.0617</f>
        <v>25.67063196</v>
      </c>
      <c r="P31" s="92">
        <f>24.255*1.06175</f>
        <v>25.752746249999998</v>
      </c>
      <c r="Q31" s="49">
        <f>(E31+F31+G31+H31+I31+J31+K31+L31+M31+N31+O31+P31)/12</f>
        <v>23.843715425000003</v>
      </c>
    </row>
    <row r="32" spans="1:17" ht="9" customHeight="1" thickBot="1">
      <c r="A32" s="88" t="s">
        <v>42</v>
      </c>
      <c r="B32" s="155" t="s">
        <v>52</v>
      </c>
      <c r="C32" s="63" t="s">
        <v>22</v>
      </c>
      <c r="D32" s="91" t="s">
        <v>23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ht="9" customHeight="1" thickBot="1">
      <c r="A33" s="86"/>
      <c r="B33" s="156"/>
      <c r="C33" s="65" t="s">
        <v>24</v>
      </c>
      <c r="D33" s="91" t="s">
        <v>23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ht="9" customHeight="1" thickBot="1">
      <c r="A34" s="86"/>
      <c r="B34" s="156"/>
      <c r="C34" s="65" t="s">
        <v>25</v>
      </c>
      <c r="D34" s="91" t="s">
        <v>23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9" customHeight="1" thickBot="1">
      <c r="A35" s="86"/>
      <c r="B35" s="156"/>
      <c r="C35" s="65" t="s">
        <v>26</v>
      </c>
      <c r="D35" s="91" t="s">
        <v>23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ht="9" customHeight="1" thickBot="1">
      <c r="A36" s="86"/>
      <c r="B36" s="157"/>
      <c r="C36" s="67" t="s">
        <v>27</v>
      </c>
      <c r="D36" s="94" t="s">
        <v>23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9" customHeight="1" thickBot="1">
      <c r="A37" s="88" t="s">
        <v>54</v>
      </c>
      <c r="B37" s="169" t="s">
        <v>49</v>
      </c>
      <c r="C37" s="68" t="s">
        <v>22</v>
      </c>
      <c r="D37" s="176" t="s">
        <v>23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</row>
    <row r="38" spans="1:17" ht="9" customHeight="1" thickBot="1">
      <c r="A38" s="86"/>
      <c r="B38" s="167"/>
      <c r="C38" s="65" t="s">
        <v>24</v>
      </c>
      <c r="D38" s="91" t="s">
        <v>23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ht="9" customHeight="1" thickBot="1">
      <c r="A39" s="86"/>
      <c r="B39" s="167"/>
      <c r="C39" s="65" t="s">
        <v>25</v>
      </c>
      <c r="D39" s="91" t="s">
        <v>23</v>
      </c>
      <c r="E39" s="57">
        <f>0.656/1.3427</f>
        <v>0.488567811126834</v>
      </c>
      <c r="F39" s="57">
        <f>0.6317/1.3427</f>
        <v>0.4704699486110077</v>
      </c>
      <c r="G39" s="57">
        <f>0.6087/1.3427</f>
        <v>0.4533402845013778</v>
      </c>
      <c r="H39" s="57">
        <f>0.587/1.3427</f>
        <v>0.4371788187979444</v>
      </c>
      <c r="I39" s="57">
        <f>0.5842/1.3427</f>
        <v>0.4350934683845982</v>
      </c>
      <c r="J39" s="57">
        <f>0.5746/1.3427</f>
        <v>0.42794369553883965</v>
      </c>
      <c r="K39" s="57">
        <f>0.5722/1.3427</f>
        <v>0.42615625232740006</v>
      </c>
      <c r="L39" s="57">
        <f>0.5847/1.3427</f>
        <v>0.43546585238698143</v>
      </c>
      <c r="M39" s="57">
        <f>0.606/1.3427</f>
        <v>0.4513294108885082</v>
      </c>
      <c r="N39" s="57">
        <f>0.6095/1.3427</f>
        <v>0.45393609890519104</v>
      </c>
      <c r="O39" s="57">
        <f>0.6579/1.3427</f>
        <v>0.4899828703358904</v>
      </c>
      <c r="P39" s="57">
        <f>0.6623/1.3427</f>
        <v>0.49325984955686303</v>
      </c>
      <c r="Q39" s="57">
        <f>(E39+F39+G39+H39+I39+J39+K39+L39+M39+N39+O39+P39)/12</f>
        <v>0.4552270301134531</v>
      </c>
    </row>
    <row r="40" spans="1:17" ht="9" customHeight="1" thickBot="1">
      <c r="A40" s="86"/>
      <c r="B40" s="167"/>
      <c r="C40" s="65" t="s">
        <v>26</v>
      </c>
      <c r="D40" s="91" t="s">
        <v>23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</row>
    <row r="41" spans="1:17" ht="9" customHeight="1" thickBot="1">
      <c r="A41" s="87"/>
      <c r="B41" s="168"/>
      <c r="C41" s="67" t="s">
        <v>27</v>
      </c>
      <c r="D41" s="91" t="s">
        <v>23</v>
      </c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</row>
    <row r="42" spans="1:17" ht="9" customHeight="1" thickBot="1">
      <c r="A42" s="158">
        <v>3</v>
      </c>
      <c r="B42" s="170" t="s">
        <v>43</v>
      </c>
      <c r="C42" s="68" t="s">
        <v>22</v>
      </c>
      <c r="D42" s="64" t="s">
        <v>23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9" customHeight="1" thickBot="1">
      <c r="A43" s="159"/>
      <c r="B43" s="171"/>
      <c r="C43" s="65" t="s">
        <v>24</v>
      </c>
      <c r="D43" s="64" t="s">
        <v>23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17" ht="9" customHeight="1" thickBot="1">
      <c r="A44" s="159"/>
      <c r="B44" s="171"/>
      <c r="C44" s="65" t="s">
        <v>25</v>
      </c>
      <c r="D44" s="64" t="s">
        <v>23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</row>
    <row r="45" spans="1:17" ht="9" customHeight="1" thickBot="1">
      <c r="A45" s="159"/>
      <c r="B45" s="171"/>
      <c r="C45" s="65" t="s">
        <v>26</v>
      </c>
      <c r="D45" s="64" t="s">
        <v>23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9" customHeight="1" thickBot="1">
      <c r="A46" s="160"/>
      <c r="B46" s="172"/>
      <c r="C46" s="67" t="s">
        <v>27</v>
      </c>
      <c r="D46" s="64" t="s">
        <v>23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9" customHeight="1">
      <c r="A47" s="89">
        <v>4</v>
      </c>
      <c r="B47" s="71" t="s">
        <v>29</v>
      </c>
      <c r="C47" s="72"/>
      <c r="D47" s="64" t="s">
        <v>23</v>
      </c>
      <c r="E47" s="61">
        <f aca="true" t="shared" si="9" ref="E47:P47">E7-E17</f>
        <v>7.705473233223884</v>
      </c>
      <c r="F47" s="61">
        <f t="shared" si="9"/>
        <v>5.580261340101096</v>
      </c>
      <c r="G47" s="61">
        <f t="shared" si="9"/>
        <v>4.624330628143156</v>
      </c>
      <c r="H47" s="61">
        <f t="shared" si="9"/>
        <v>3.2211882033517014</v>
      </c>
      <c r="I47" s="61">
        <f t="shared" si="9"/>
        <v>2.9592156039542914</v>
      </c>
      <c r="J47" s="61">
        <f t="shared" si="9"/>
        <v>2.3596249400873326</v>
      </c>
      <c r="K47" s="61">
        <f t="shared" si="9"/>
        <v>2.221675385327213</v>
      </c>
      <c r="L47" s="61">
        <f t="shared" si="9"/>
        <v>2.984154513177046</v>
      </c>
      <c r="M47" s="61">
        <f t="shared" si="9"/>
        <v>4.424250119096499</v>
      </c>
      <c r="N47" s="61">
        <f t="shared" si="9"/>
        <v>4.67185018192302</v>
      </c>
      <c r="O47" s="61">
        <f t="shared" si="9"/>
        <v>8.62994576250366</v>
      </c>
      <c r="P47" s="61">
        <f t="shared" si="9"/>
        <v>8.648595223649743</v>
      </c>
      <c r="Q47" s="56">
        <f>(E47+F47+G47+H47+I47+J47+K47+L47+M47+N47+O47+P47)/12</f>
        <v>4.83588042787822</v>
      </c>
    </row>
    <row r="48" spans="1:17" ht="9" customHeight="1" thickBot="1">
      <c r="A48" s="66"/>
      <c r="B48" s="73"/>
      <c r="C48" s="74"/>
      <c r="D48" s="60" t="s">
        <v>30</v>
      </c>
      <c r="E48" s="75">
        <f aca="true" t="shared" si="10" ref="E48:Q48">E47/E7*100</f>
        <v>17.88926295778846</v>
      </c>
      <c r="F48" s="75">
        <f t="shared" si="10"/>
        <v>14.085393031625642</v>
      </c>
      <c r="G48" s="75">
        <f t="shared" si="10"/>
        <v>12.356171641061254</v>
      </c>
      <c r="H48" s="75">
        <f t="shared" si="10"/>
        <v>9.2476690311459</v>
      </c>
      <c r="I48" s="75">
        <f t="shared" si="10"/>
        <v>8.593895203316853</v>
      </c>
      <c r="J48" s="75">
        <f t="shared" si="10"/>
        <v>7.082424664276591</v>
      </c>
      <c r="K48" s="75">
        <f t="shared" si="10"/>
        <v>6.721971648527712</v>
      </c>
      <c r="L48" s="75">
        <f t="shared" si="10"/>
        <v>8.653672655707775</v>
      </c>
      <c r="M48" s="75">
        <f t="shared" si="10"/>
        <v>11.934888386816805</v>
      </c>
      <c r="N48" s="75">
        <f t="shared" si="10"/>
        <v>12.454240096825306</v>
      </c>
      <c r="O48" s="75">
        <f t="shared" si="10"/>
        <v>19.57963430844495</v>
      </c>
      <c r="P48" s="75">
        <f t="shared" si="10"/>
        <v>19.554515293927338</v>
      </c>
      <c r="Q48" s="62">
        <f t="shared" si="10"/>
        <v>12.80687907130838</v>
      </c>
    </row>
    <row r="49" spans="1:17" ht="10.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7"/>
    </row>
    <row r="50" spans="1:17" ht="10.5" customHeight="1">
      <c r="A50" s="7"/>
      <c r="B50" s="7" t="s">
        <v>31</v>
      </c>
      <c r="C50" s="7"/>
      <c r="D50" s="7"/>
      <c r="E50" s="7"/>
      <c r="F50" s="10"/>
      <c r="G50" s="11" t="s">
        <v>0</v>
      </c>
      <c r="H50" s="11"/>
      <c r="I50" s="11"/>
      <c r="J50" s="7"/>
      <c r="K50" s="7"/>
      <c r="L50" s="7"/>
      <c r="M50" s="161" t="s">
        <v>1</v>
      </c>
      <c r="N50" s="161"/>
      <c r="O50" s="10"/>
      <c r="P50" s="7"/>
      <c r="Q50" s="7"/>
    </row>
    <row r="51" spans="1:17" ht="10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0.5" customHeight="1">
      <c r="A52" s="7"/>
      <c r="B52" s="7" t="s">
        <v>2</v>
      </c>
      <c r="C52" s="7"/>
      <c r="D52" s="7"/>
      <c r="E52" s="7"/>
      <c r="F52" s="7"/>
      <c r="G52" s="12" t="s">
        <v>3</v>
      </c>
      <c r="H52" s="12"/>
      <c r="I52" s="12"/>
      <c r="J52" s="7"/>
      <c r="K52" s="7"/>
      <c r="L52" s="7"/>
      <c r="M52" s="12" t="s">
        <v>35</v>
      </c>
      <c r="N52" s="12"/>
      <c r="O52" s="12"/>
      <c r="P52" s="7"/>
      <c r="Q52" s="7"/>
    </row>
    <row r="53" spans="1:17" ht="10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3"/>
    </row>
    <row r="54" spans="1:17" ht="10.5" customHeight="1">
      <c r="A54" s="7"/>
      <c r="B54" s="13" t="s">
        <v>34</v>
      </c>
      <c r="C54" s="13"/>
      <c r="D54" s="13"/>
      <c r="E54" s="13"/>
      <c r="F54" s="13"/>
      <c r="G54" s="13" t="s">
        <v>34</v>
      </c>
      <c r="H54" s="13"/>
      <c r="I54" s="13"/>
      <c r="J54" s="13"/>
      <c r="K54" s="13"/>
      <c r="L54" s="7"/>
      <c r="M54" s="13" t="s">
        <v>34</v>
      </c>
      <c r="N54" s="13"/>
      <c r="O54" s="13"/>
      <c r="P54" s="13"/>
      <c r="Q54" s="14"/>
    </row>
    <row r="55" spans="1:17" ht="10.5" customHeight="1">
      <c r="A55" s="7"/>
      <c r="B55" s="14" t="s">
        <v>33</v>
      </c>
      <c r="C55" s="14"/>
      <c r="D55" s="14"/>
      <c r="E55" s="14"/>
      <c r="F55" s="14"/>
      <c r="G55" s="14" t="s">
        <v>33</v>
      </c>
      <c r="H55" s="14"/>
      <c r="I55" s="14"/>
      <c r="J55" s="14"/>
      <c r="K55" s="14"/>
      <c r="L55" s="7"/>
      <c r="M55" s="14" t="s">
        <v>33</v>
      </c>
      <c r="N55" s="14"/>
      <c r="O55" s="14"/>
      <c r="P55" s="14"/>
      <c r="Q55" s="7"/>
    </row>
    <row r="56" spans="1:17" ht="10.5" customHeight="1">
      <c r="A56" s="8"/>
      <c r="B56" s="15" t="s">
        <v>32</v>
      </c>
      <c r="C56" s="7"/>
      <c r="D56" s="7"/>
      <c r="E56" s="7"/>
      <c r="F56" s="7"/>
      <c r="G56" s="15" t="s">
        <v>32</v>
      </c>
      <c r="H56" s="7"/>
      <c r="I56" s="7"/>
      <c r="J56" s="7"/>
      <c r="K56" s="7"/>
      <c r="L56" s="7"/>
      <c r="M56" s="15" t="s">
        <v>32</v>
      </c>
      <c r="N56" s="7"/>
      <c r="O56" s="7"/>
      <c r="P56" s="7"/>
      <c r="Q56" s="8"/>
    </row>
  </sheetData>
  <mergeCells count="12">
    <mergeCell ref="A22:A26"/>
    <mergeCell ref="B22:B26"/>
    <mergeCell ref="B32:B36"/>
    <mergeCell ref="A42:A46"/>
    <mergeCell ref="M50:N50"/>
    <mergeCell ref="A5:O5"/>
    <mergeCell ref="B6:C6"/>
    <mergeCell ref="B12:B16"/>
    <mergeCell ref="B17:B21"/>
    <mergeCell ref="B27:B31"/>
    <mergeCell ref="B37:B41"/>
    <mergeCell ref="B42:B46"/>
  </mergeCells>
  <printOptions/>
  <pageMargins left="0.3937007874015748" right="0.1968503937007874" top="0.1968503937007874" bottom="0.196850393700787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Eliseeva</dc:creator>
  <cp:keywords/>
  <dc:description/>
  <cp:lastModifiedBy>Vlad_M</cp:lastModifiedBy>
  <cp:lastPrinted>2010-01-19T08:04:01Z</cp:lastPrinted>
  <dcterms:created xsi:type="dcterms:W3CDTF">2005-03-24T12:15:37Z</dcterms:created>
  <dcterms:modified xsi:type="dcterms:W3CDTF">2010-12-20T12:56:00Z</dcterms:modified>
  <cp:category/>
  <cp:version/>
  <cp:contentType/>
  <cp:contentStatus/>
</cp:coreProperties>
</file>